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Chris A\Desktop\Business\Grassroot Peacebuilders\Peacebuilder Academy\Notes &amp; Deliverables\M5_NPD\"/>
    </mc:Choice>
  </mc:AlternateContent>
  <xr:revisionPtr revIDLastSave="0" documentId="13_ncr:1_{E9962209-72C1-4EA8-9F46-8EBF33BC7377}" xr6:coauthVersionLast="47" xr6:coauthVersionMax="47" xr10:uidLastSave="{00000000-0000-0000-0000-000000000000}"/>
  <bookViews>
    <workbookView xWindow="27250" yWindow="-110" windowWidth="38620" windowHeight="21100" tabRatio="867" xr2:uid="{00000000-000D-0000-FFFF-FFFF00000000}"/>
  </bookViews>
  <sheets>
    <sheet name="Project Costs &amp; Capital (UL)" sheetId="53601" r:id="rId1"/>
    <sheet name="Rent Roll &amp; Leasing Assumptions" sheetId="53602" r:id="rId2"/>
    <sheet name="Operating Expenses" sheetId="53599" r:id="rId3"/>
    <sheet name="Net Operating Income" sheetId="53598" r:id="rId4"/>
    <sheet name="Unleveraged Cash Flow" sheetId="53596" r:id="rId5"/>
    <sheet name="Leveraged Analyses --&gt;" sheetId="53605" r:id="rId6"/>
    <sheet name="Project Costs &amp; Capital (L)" sheetId="53603" r:id="rId7"/>
    <sheet name="Leveraged Cash Flow (S-T)" sheetId="53604" r:id="rId8"/>
    <sheet name="Leveraged Cash Flow (L-T)" sheetId="53606" r:id="rId9"/>
  </sheets>
  <externalReferences>
    <externalReference r:id="rId10"/>
    <externalReference r:id="rId11"/>
    <externalReference r:id="rId12"/>
  </externalReferences>
  <definedNames>
    <definedName name="__IntlFixup" hidden="1">TRUE</definedName>
    <definedName name="absorbtion" localSheetId="8">#REF!</definedName>
    <definedName name="absorbtion" localSheetId="7">#REF!</definedName>
    <definedName name="absorbtion" localSheetId="3">#REF!</definedName>
    <definedName name="absorbtion" localSheetId="2">#REF!</definedName>
    <definedName name="absorbtion" localSheetId="6">#REF!</definedName>
    <definedName name="absorbtion" localSheetId="0">#REF!</definedName>
    <definedName name="absorbtion" localSheetId="1">#REF!</definedName>
    <definedName name="absorbtion" localSheetId="4">#REF!</definedName>
    <definedName name="absorbtion">#REF!</definedName>
    <definedName name="advertising">[1]Setup!$D$34</definedName>
    <definedName name="amenities">[1]Setup!$D$32</definedName>
    <definedName name="AnDpayoff" localSheetId="8">#REF!</definedName>
    <definedName name="AnDpayoff" localSheetId="7">#REF!</definedName>
    <definedName name="AnDpayoff" localSheetId="3">#REF!</definedName>
    <definedName name="AnDpayoff" localSheetId="2">#REF!</definedName>
    <definedName name="AnDpayoff" localSheetId="6">#REF!</definedName>
    <definedName name="AnDpayoff" localSheetId="0">#REF!</definedName>
    <definedName name="AnDpayoff" localSheetId="1">#REF!</definedName>
    <definedName name="AnDpayoff" localSheetId="4">#REF!</definedName>
    <definedName name="AnDpayoff">#REF!</definedName>
    <definedName name="assocmaint">[1]Proforma!$F$31</definedName>
    <definedName name="average">[1]Setup!$I$14</definedName>
    <definedName name="avgcomm">[1]Proforma!$H$36</definedName>
    <definedName name="buildout" localSheetId="8">#REF!</definedName>
    <definedName name="buildout" localSheetId="7">#REF!</definedName>
    <definedName name="buildout" localSheetId="3">#REF!</definedName>
    <definedName name="buildout" localSheetId="2">#REF!</definedName>
    <definedName name="buildout" localSheetId="6">#REF!</definedName>
    <definedName name="buildout" localSheetId="0">#REF!</definedName>
    <definedName name="buildout" localSheetId="1">#REF!</definedName>
    <definedName name="buildout" localSheetId="4">#REF!</definedName>
    <definedName name="buildout">#REF!</definedName>
    <definedName name="closing">[1]Proforma!$H$33</definedName>
    <definedName name="club">[1]Setup!$D$31</definedName>
    <definedName name="_xlnm.Criteria" localSheetId="3">#REF!</definedName>
    <definedName name="_xlnm.Criteria" localSheetId="2">#REF!</definedName>
    <definedName name="_xlnm.Criteria" localSheetId="6">#REF!</definedName>
    <definedName name="_xlnm.Criteria" localSheetId="0">#REF!</definedName>
    <definedName name="_xlnm.Criteria" localSheetId="1">#REF!</definedName>
    <definedName name="_xlnm.Criteria">#REF!</definedName>
    <definedName name="_xlnm.Database" localSheetId="3">#REF!</definedName>
    <definedName name="_xlnm.Database" localSheetId="2">#REF!</definedName>
    <definedName name="_xlnm.Database" localSheetId="6">#REF!</definedName>
    <definedName name="_xlnm.Database" localSheetId="0">#REF!</definedName>
    <definedName name="_xlnm.Database" localSheetId="1">#REF!</definedName>
    <definedName name="_xlnm.Database">#REF!</definedName>
    <definedName name="dflt1">'[2]Customize Your Loan Manager'!$G$21</definedName>
    <definedName name="DSPIMO" localSheetId="3">#REF!</definedName>
    <definedName name="DSPIMO" localSheetId="2">#REF!</definedName>
    <definedName name="DSPIMO" localSheetId="6">#REF!</definedName>
    <definedName name="DSPIMO" localSheetId="0">#REF!</definedName>
    <definedName name="DSPIMO" localSheetId="1">#REF!</definedName>
    <definedName name="DSPIMO">#REF!</definedName>
    <definedName name="Equity" localSheetId="8">#REF!</definedName>
    <definedName name="Equity" localSheetId="7">#REF!</definedName>
    <definedName name="Equity" localSheetId="3">#REF!</definedName>
    <definedName name="Equity" localSheetId="2">#REF!</definedName>
    <definedName name="Equity" localSheetId="6">#REF!</definedName>
    <definedName name="Equity" localSheetId="0">#REF!</definedName>
    <definedName name="Equity" localSheetId="1">#REF!</definedName>
    <definedName name="Equity" localSheetId="4">#REF!</definedName>
    <definedName name="Equity">#REF!</definedName>
    <definedName name="extras">[1]Setup!$I$15</definedName>
    <definedName name="GoAssetChart">[0]!GoAssetChart</definedName>
    <definedName name="GoBack">[0]!GoBack</definedName>
    <definedName name="GoBalanceSheet">[0]!GoBalanceSheet</definedName>
    <definedName name="GoCashFlow">[0]!GoCashFlow</definedName>
    <definedName name="GoData">[0]!GoData</definedName>
    <definedName name="GoIncomeChart">[0]!GoIncomeChart</definedName>
    <definedName name="gotcha">[1]Setup!$D$28</definedName>
    <definedName name="interest">[1]Setup!$D$15</definedName>
    <definedName name="intpayoff" localSheetId="8">#REF!</definedName>
    <definedName name="intpayoff" localSheetId="7">#REF!</definedName>
    <definedName name="intpayoff" localSheetId="3">#REF!</definedName>
    <definedName name="intpayoff" localSheetId="2">#REF!</definedName>
    <definedName name="intpayoff" localSheetId="6">#REF!</definedName>
    <definedName name="intpayoff" localSheetId="0">#REF!</definedName>
    <definedName name="intpayoff" localSheetId="1">#REF!</definedName>
    <definedName name="intpayoff" localSheetId="4">#REF!</definedName>
    <definedName name="intpayoff">#REF!</definedName>
    <definedName name="NUMCHECK" localSheetId="3">AND(ISNUMBER(#REF!),ISNUMBER(#REF!),ISNUMBER(#REF!),ISNUMBER(#REF!))</definedName>
    <definedName name="NUMCHECK" localSheetId="2">AND(ISNUMBER(#REF!),ISNUMBER(#REF!),ISNUMBER(#REF!),ISNUMBER(#REF!))</definedName>
    <definedName name="NUMCHECK" localSheetId="6">AND(ISNUMBER(#REF!),ISNUMBER(#REF!),ISNUMBER(#REF!),ISNUMBER(#REF!))</definedName>
    <definedName name="NUMCHECK" localSheetId="0">AND(ISNUMBER(#REF!),ISNUMBER(#REF!),ISNUMBER(#REF!),ISNUMBER(#REF!))</definedName>
    <definedName name="NUMCHECK" localSheetId="1">AND(ISNUMBER(#REF!),ISNUMBER(#REF!),ISNUMBER(#REF!),ISNUMBER(#REF!))</definedName>
    <definedName name="NUMCHECK">AND(ISNUMBER(#REF!),ISNUMBER(#REF!),ISNUMBER(#REF!),ISNUMBER(#REF!))</definedName>
    <definedName name="NUMENTRIES" localSheetId="3">#REF!</definedName>
    <definedName name="NUMENTRIES" localSheetId="2">#REF!</definedName>
    <definedName name="NUMENTRIES" localSheetId="6">#REF!</definedName>
    <definedName name="NUMENTRIES" localSheetId="0">#REF!</definedName>
    <definedName name="NUMENTRIES" localSheetId="1">#REF!</definedName>
    <definedName name="NUMENTRIES">#REF!</definedName>
    <definedName name="offsite">[1]Setup!$D$39</definedName>
    <definedName name="onsite">[1]Setup!$D$38</definedName>
    <definedName name="overhead">[1]Proforma!$F$29</definedName>
    <definedName name="premiums">[1]Setup!$I$16</definedName>
    <definedName name="price">[1]Setup!$D$24</definedName>
    <definedName name="_xlnm.Print_Area" localSheetId="8">'Leveraged Cash Flow (L-T)'!$A$4:$V$92</definedName>
    <definedName name="_xlnm.Print_Area" localSheetId="7">'Leveraged Cash Flow (S-T)'!$A$4:$V$75</definedName>
    <definedName name="_xlnm.Print_Area" localSheetId="3">'Net Operating Income'!$A$4:$X$38</definedName>
    <definedName name="_xlnm.Print_Area" localSheetId="2">'Operating Expenses'!$A$4:$Q$15</definedName>
    <definedName name="_xlnm.Print_Area" localSheetId="6">'Project Costs &amp; Capital (L)'!$A$4:$H$40</definedName>
    <definedName name="_xlnm.Print_Area" localSheetId="0">'Project Costs &amp; Capital (UL)'!$A$4:$H$40</definedName>
    <definedName name="_xlnm.Print_Area" localSheetId="1">'Rent Roll &amp; Leasing Assumptions'!$A$4:$R$17</definedName>
    <definedName name="_xlnm.Print_Area" localSheetId="4">'Unleveraged Cash Flow'!$A$4:$V$75</definedName>
    <definedName name="sample">[1]Setup!$D$36</definedName>
    <definedName name="sewer">[1]Setup!$D$26</definedName>
    <definedName name="SnBcosts">[1]Proforma!$H$12:$H$13</definedName>
    <definedName name="SnBpayoff" localSheetId="8">#REF!</definedName>
    <definedName name="SnBpayoff" localSheetId="7">#REF!</definedName>
    <definedName name="SnBpayoff" localSheetId="3">#REF!</definedName>
    <definedName name="SnBpayoff" localSheetId="2">#REF!</definedName>
    <definedName name="SnBpayoff" localSheetId="6">#REF!</definedName>
    <definedName name="SnBpayoff" localSheetId="0">#REF!</definedName>
    <definedName name="SnBpayoff" localSheetId="1">#REF!</definedName>
    <definedName name="SnBpayoff" localSheetId="4">#REF!</definedName>
    <definedName name="SnBpayoff">#REF!</definedName>
    <definedName name="tax">[1]Setup!$D$40</definedName>
    <definedName name="taxes">[1]Proforma!$F$30</definedName>
    <definedName name="units">[3]Calculations!$E$11</definedName>
    <definedName name="water">[1]Setup!$D$27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" i="53604" l="1"/>
  <c r="R6" i="53599"/>
  <c r="S6" i="53599"/>
  <c r="T6" i="53599"/>
  <c r="U6" i="53599" s="1"/>
  <c r="V6" i="53599" s="1"/>
  <c r="W6" i="53599" s="1"/>
  <c r="X6" i="53599" s="1"/>
  <c r="Y6" i="53599" s="1"/>
  <c r="Z6" i="53599" s="1"/>
  <c r="R12" i="53599"/>
  <c r="S12" i="53599" s="1"/>
  <c r="R13" i="53599"/>
  <c r="S13" i="53599"/>
  <c r="Z25" i="53598" s="1"/>
  <c r="X6" i="53602"/>
  <c r="Y6" i="53602"/>
  <c r="Z6" i="53602" s="1"/>
  <c r="AA6" i="53602" s="1"/>
  <c r="S6" i="53602"/>
  <c r="T6" i="53602" s="1"/>
  <c r="U6" i="53602" s="1"/>
  <c r="V6" i="53602" s="1"/>
  <c r="W6" i="53602" s="1"/>
  <c r="S15" i="53602"/>
  <c r="T15" i="53602" s="1"/>
  <c r="Y6" i="53598"/>
  <c r="Z6" i="53598" s="1"/>
  <c r="AA6" i="53598" s="1"/>
  <c r="AB6" i="53598" s="1"/>
  <c r="AC6" i="53598" s="1"/>
  <c r="AD6" i="53598" s="1"/>
  <c r="AE6" i="53598" s="1"/>
  <c r="AF6" i="53598" s="1"/>
  <c r="AG6" i="53598" s="1"/>
  <c r="Y25" i="53598"/>
  <c r="Y32" i="53598"/>
  <c r="Y34" i="53598" s="1"/>
  <c r="W30" i="53596" s="1"/>
  <c r="Z32" i="53598"/>
  <c r="AA32" i="53598"/>
  <c r="AB32" i="53598"/>
  <c r="AC32" i="53598"/>
  <c r="AC34" i="53598" s="1"/>
  <c r="AA30" i="53596" s="1"/>
  <c r="AD32" i="53598"/>
  <c r="AD34" i="53598" s="1"/>
  <c r="AB30" i="53596" s="1"/>
  <c r="AE32" i="53598"/>
  <c r="AF32" i="53598"/>
  <c r="AF34" i="53598" s="1"/>
  <c r="AD30" i="53596" s="1"/>
  <c r="AG32" i="53598"/>
  <c r="AG34" i="53598" s="1"/>
  <c r="AE30" i="53596" s="1"/>
  <c r="Y33" i="53598"/>
  <c r="Z33" i="53598"/>
  <c r="AA33" i="53598"/>
  <c r="AB33" i="53598"/>
  <c r="AC33" i="53598"/>
  <c r="AD33" i="53598"/>
  <c r="AE33" i="53598"/>
  <c r="AF33" i="53598"/>
  <c r="AG33" i="53598"/>
  <c r="Z34" i="53598"/>
  <c r="X30" i="53596" s="1"/>
  <c r="AA34" i="53598"/>
  <c r="Y30" i="53596" s="1"/>
  <c r="AB34" i="53598"/>
  <c r="AE34" i="53598"/>
  <c r="AC30" i="53596" s="1"/>
  <c r="W6" i="53596"/>
  <c r="X6" i="53596" s="1"/>
  <c r="Z30" i="53596"/>
  <c r="W41" i="53596"/>
  <c r="W42" i="53596" s="1"/>
  <c r="W44" i="53596" s="1"/>
  <c r="W46" i="53596" s="1"/>
  <c r="K14" i="53603"/>
  <c r="J14" i="53603"/>
  <c r="I14" i="53603"/>
  <c r="K13" i="53603"/>
  <c r="J13" i="53603"/>
  <c r="I13" i="53603"/>
  <c r="K12" i="53603"/>
  <c r="J12" i="53603"/>
  <c r="I12" i="53603"/>
  <c r="K11" i="53603"/>
  <c r="J11" i="53603"/>
  <c r="I11" i="53603"/>
  <c r="H14" i="53603"/>
  <c r="H12" i="53603"/>
  <c r="H11" i="53603"/>
  <c r="K20" i="53603"/>
  <c r="J20" i="53603"/>
  <c r="I20" i="53603"/>
  <c r="K19" i="53603"/>
  <c r="J19" i="53603"/>
  <c r="I19" i="53603"/>
  <c r="K18" i="53603"/>
  <c r="J18" i="53603"/>
  <c r="I18" i="53603"/>
  <c r="H20" i="53603"/>
  <c r="H19" i="53603"/>
  <c r="H18" i="53603"/>
  <c r="I24" i="53603"/>
  <c r="I26" i="53603" s="1"/>
  <c r="K24" i="53603"/>
  <c r="J24" i="53603"/>
  <c r="J26" i="53603" s="1"/>
  <c r="H24" i="53603"/>
  <c r="M6" i="53606"/>
  <c r="M57" i="53606" s="1"/>
  <c r="M58" i="53606" s="1"/>
  <c r="F31" i="53606"/>
  <c r="I41" i="53606"/>
  <c r="L45" i="53606"/>
  <c r="K42" i="53606"/>
  <c r="K47" i="53606" s="1"/>
  <c r="L42" i="53606"/>
  <c r="L47" i="53606" s="1"/>
  <c r="L57" i="53606"/>
  <c r="L59" i="53606" s="1"/>
  <c r="K45" i="53606"/>
  <c r="K54" i="53606" s="1"/>
  <c r="K57" i="53606"/>
  <c r="K59" i="53606" s="1"/>
  <c r="L38" i="53606"/>
  <c r="K38" i="53606"/>
  <c r="F82" i="53606"/>
  <c r="F80" i="53606"/>
  <c r="F79" i="53606" s="1"/>
  <c r="F71" i="53606"/>
  <c r="F72" i="53606" s="1"/>
  <c r="F69" i="53606"/>
  <c r="F68" i="53606" s="1"/>
  <c r="K14" i="53606"/>
  <c r="B1" i="53598"/>
  <c r="F31" i="53604"/>
  <c r="M6" i="53604"/>
  <c r="L41" i="53604"/>
  <c r="L43" i="53604" s="1"/>
  <c r="K41" i="53604"/>
  <c r="K43" i="53604" s="1"/>
  <c r="K26" i="53603"/>
  <c r="N25" i="53603"/>
  <c r="K14" i="53604"/>
  <c r="F66" i="53604"/>
  <c r="F64" i="53604"/>
  <c r="F63" i="53604"/>
  <c r="F62" i="53604" s="1"/>
  <c r="F55" i="53604"/>
  <c r="F56" i="53604" s="1"/>
  <c r="F53" i="53604"/>
  <c r="F52" i="53604" s="1"/>
  <c r="J6" i="53603"/>
  <c r="K6" i="53603" s="1"/>
  <c r="I26" i="53601"/>
  <c r="L13" i="53596" s="1"/>
  <c r="H12" i="53599"/>
  <c r="I12" i="53599" s="1"/>
  <c r="J12" i="53599" s="1"/>
  <c r="H13" i="53601"/>
  <c r="H13" i="53603" s="1"/>
  <c r="I14" i="53602"/>
  <c r="O12" i="53598" s="1"/>
  <c r="O17" i="53598" s="1"/>
  <c r="F15" i="53602"/>
  <c r="I15" i="53602" s="1"/>
  <c r="H13" i="53599"/>
  <c r="I13" i="53599" s="1"/>
  <c r="J13" i="53599" s="1"/>
  <c r="K13" i="53599" s="1"/>
  <c r="L13" i="53599" s="1"/>
  <c r="M13" i="53599" s="1"/>
  <c r="M24" i="53598"/>
  <c r="M12" i="53598"/>
  <c r="M17" i="53598" s="1"/>
  <c r="M13" i="53598"/>
  <c r="M18" i="53598" s="1"/>
  <c r="N13" i="53598"/>
  <c r="N18" i="53598" s="1"/>
  <c r="N12" i="53598"/>
  <c r="I21" i="53601"/>
  <c r="H17" i="53602"/>
  <c r="G17" i="53602"/>
  <c r="M6" i="53596"/>
  <c r="N6" i="53596" s="1"/>
  <c r="O6" i="53596" s="1"/>
  <c r="L41" i="53596"/>
  <c r="I15" i="53601"/>
  <c r="L11" i="53596"/>
  <c r="K14" i="53596"/>
  <c r="H26" i="53601"/>
  <c r="K13" i="53596" s="1"/>
  <c r="H21" i="53601"/>
  <c r="K12" i="53596" s="1"/>
  <c r="L12" i="53596"/>
  <c r="K41" i="53596"/>
  <c r="K42" i="53596" s="1"/>
  <c r="K44" i="53596" s="1"/>
  <c r="F13" i="53599"/>
  <c r="M25" i="53598" s="1"/>
  <c r="M32" i="53598"/>
  <c r="M34" i="53598" s="1"/>
  <c r="K30" i="53596" s="1"/>
  <c r="M33" i="53598"/>
  <c r="N17" i="53598"/>
  <c r="N24" i="53598"/>
  <c r="N25" i="53598"/>
  <c r="N26" i="53598" s="1"/>
  <c r="L28" i="53604" s="1"/>
  <c r="N32" i="53598"/>
  <c r="N34" i="53598" s="1"/>
  <c r="L30" i="53596" s="1"/>
  <c r="N33" i="53598"/>
  <c r="O32" i="53598"/>
  <c r="O34" i="53598" s="1"/>
  <c r="M30" i="53596" s="1"/>
  <c r="O33" i="53598"/>
  <c r="P32" i="53598"/>
  <c r="P34" i="53598" s="1"/>
  <c r="N30" i="53596" s="1"/>
  <c r="P33" i="53598"/>
  <c r="Q32" i="53598"/>
  <c r="Q34" i="53598" s="1"/>
  <c r="O30" i="53596" s="1"/>
  <c r="Q33" i="53598"/>
  <c r="R32" i="53598"/>
  <c r="R34" i="53598" s="1"/>
  <c r="P30" i="53596" s="1"/>
  <c r="R33" i="53598"/>
  <c r="F65" i="53596"/>
  <c r="F66" i="53596" s="1"/>
  <c r="F67" i="53596" s="1"/>
  <c r="F63" i="53596"/>
  <c r="F62" i="53596" s="1"/>
  <c r="F53" i="53596"/>
  <c r="F52" i="53596" s="1"/>
  <c r="F55" i="53596"/>
  <c r="F56" i="53596" s="1"/>
  <c r="S33" i="53598"/>
  <c r="X33" i="53598"/>
  <c r="W33" i="53598"/>
  <c r="V33" i="53598"/>
  <c r="U33" i="53598"/>
  <c r="X32" i="53598"/>
  <c r="X34" i="53598" s="1"/>
  <c r="V30" i="53596" s="1"/>
  <c r="W32" i="53598"/>
  <c r="W34" i="53598" s="1"/>
  <c r="U30" i="53596" s="1"/>
  <c r="V32" i="53598"/>
  <c r="V34" i="53598" s="1"/>
  <c r="T30" i="53596" s="1"/>
  <c r="U32" i="53598"/>
  <c r="U34" i="53598" s="1"/>
  <c r="S30" i="53596" s="1"/>
  <c r="S32" i="53598"/>
  <c r="S34" i="53598" s="1"/>
  <c r="Q30" i="53596" s="1"/>
  <c r="I6" i="53602"/>
  <c r="J6" i="53602" s="1"/>
  <c r="K6" i="53602" s="1"/>
  <c r="L6" i="53602" s="1"/>
  <c r="M6" i="53602" s="1"/>
  <c r="N6" i="53602" s="1"/>
  <c r="O6" i="53602" s="1"/>
  <c r="P6" i="53602" s="1"/>
  <c r="Q6" i="53602" s="1"/>
  <c r="R6" i="53602" s="1"/>
  <c r="B1" i="53599"/>
  <c r="T33" i="53598"/>
  <c r="B1" i="53602"/>
  <c r="K26" i="53601"/>
  <c r="J26" i="53601"/>
  <c r="K21" i="53601"/>
  <c r="J21" i="53601"/>
  <c r="J15" i="53601"/>
  <c r="K15" i="53601"/>
  <c r="N24" i="53601"/>
  <c r="N26" i="53601" s="1"/>
  <c r="N20" i="53601"/>
  <c r="N19" i="53601"/>
  <c r="N18" i="53601"/>
  <c r="N14" i="53601"/>
  <c r="N12" i="53601"/>
  <c r="N11" i="53601"/>
  <c r="J6" i="53601"/>
  <c r="K6" i="53601" s="1"/>
  <c r="H6" i="53599"/>
  <c r="I6" i="53599" s="1"/>
  <c r="J6" i="53599" s="1"/>
  <c r="K6" i="53599" s="1"/>
  <c r="L6" i="53599" s="1"/>
  <c r="M6" i="53599" s="1"/>
  <c r="N6" i="53599" s="1"/>
  <c r="O6" i="53599" s="1"/>
  <c r="P6" i="53599" s="1"/>
  <c r="Q6" i="53599" s="1"/>
  <c r="O6" i="53598"/>
  <c r="P6" i="53598" s="1"/>
  <c r="Q6" i="53598" s="1"/>
  <c r="R6" i="53598" s="1"/>
  <c r="S6" i="53598" s="1"/>
  <c r="T6" i="53598" s="1"/>
  <c r="U6" i="53598" s="1"/>
  <c r="V6" i="53598" s="1"/>
  <c r="W6" i="53598" s="1"/>
  <c r="X6" i="53598" s="1"/>
  <c r="T32" i="53598"/>
  <c r="T34" i="53598" s="1"/>
  <c r="R30" i="53596" s="1"/>
  <c r="T12" i="53599" l="1"/>
  <c r="Z24" i="53598"/>
  <c r="Z26" i="53598" s="1"/>
  <c r="X26" i="53596" s="1"/>
  <c r="Y24" i="53598"/>
  <c r="Y26" i="53598" s="1"/>
  <c r="W26" i="53596" s="1"/>
  <c r="T13" i="53599"/>
  <c r="U15" i="53602"/>
  <c r="Z13" i="53598"/>
  <c r="Z18" i="53598" s="1"/>
  <c r="Y13" i="53598"/>
  <c r="Y18" i="53598" s="1"/>
  <c r="Y6" i="53596"/>
  <c r="X41" i="53596"/>
  <c r="B1" i="53596"/>
  <c r="P25" i="53598"/>
  <c r="N14" i="53598"/>
  <c r="L22" i="53604" s="1"/>
  <c r="N13" i="53603"/>
  <c r="R25" i="53598"/>
  <c r="M19" i="53598"/>
  <c r="K22" i="53596" s="1"/>
  <c r="I21" i="53603"/>
  <c r="L12" i="53604" s="1"/>
  <c r="N20" i="53603"/>
  <c r="J14" i="53602"/>
  <c r="P12" i="53598" s="1"/>
  <c r="P17" i="53598" s="1"/>
  <c r="I17" i="53602"/>
  <c r="H21" i="53603"/>
  <c r="K12" i="53604" s="1"/>
  <c r="L58" i="53606"/>
  <c r="L60" i="53606" s="1"/>
  <c r="N19" i="53598"/>
  <c r="L24" i="53604" s="1"/>
  <c r="B1" i="53606"/>
  <c r="M38" i="53606"/>
  <c r="I28" i="53601"/>
  <c r="N28" i="53601" s="1"/>
  <c r="M45" i="53606"/>
  <c r="M54" i="53606" s="1"/>
  <c r="M42" i="53606"/>
  <c r="M47" i="53606" s="1"/>
  <c r="M48" i="53606" s="1"/>
  <c r="M49" i="53606" s="1"/>
  <c r="I15" i="53603"/>
  <c r="L11" i="53604" s="1"/>
  <c r="J30" i="53601"/>
  <c r="N19" i="53603"/>
  <c r="L26" i="53596"/>
  <c r="O24" i="53598"/>
  <c r="N6" i="53606"/>
  <c r="O6" i="53606" s="1"/>
  <c r="O45" i="53606" s="1"/>
  <c r="J15" i="53603"/>
  <c r="L28" i="53606"/>
  <c r="H15" i="53603"/>
  <c r="K11" i="53604" s="1"/>
  <c r="K15" i="53603"/>
  <c r="N13" i="53601"/>
  <c r="N15" i="53601" s="1"/>
  <c r="Q25" i="53598"/>
  <c r="K21" i="53603"/>
  <c r="K30" i="53601"/>
  <c r="K58" i="53606"/>
  <c r="K60" i="53606" s="1"/>
  <c r="N14" i="53603"/>
  <c r="H15" i="53601"/>
  <c r="K11" i="53596" s="1"/>
  <c r="K15" i="53596" s="1"/>
  <c r="P6" i="53596"/>
  <c r="O41" i="53596"/>
  <c r="K24" i="53606"/>
  <c r="N13" i="53599"/>
  <c r="T25" i="53598"/>
  <c r="Q24" i="53598"/>
  <c r="K12" i="53599"/>
  <c r="L48" i="53606"/>
  <c r="L49" i="53606" s="1"/>
  <c r="N24" i="53603"/>
  <c r="N26" i="53603" s="1"/>
  <c r="H26" i="53603"/>
  <c r="J21" i="53603"/>
  <c r="N18" i="53603"/>
  <c r="N21" i="53601"/>
  <c r="L42" i="53596"/>
  <c r="L44" i="53596" s="1"/>
  <c r="M26" i="53598"/>
  <c r="O25" i="53598"/>
  <c r="F61" i="53596"/>
  <c r="J15" i="53602"/>
  <c r="P24" i="53598"/>
  <c r="N6" i="53604"/>
  <c r="M41" i="53604"/>
  <c r="K48" i="53606"/>
  <c r="K49" i="53606" s="1"/>
  <c r="K50" i="53606" s="1"/>
  <c r="L46" i="53606" s="1"/>
  <c r="S25" i="53598"/>
  <c r="M41" i="53596"/>
  <c r="M14" i="53598"/>
  <c r="F67" i="53604"/>
  <c r="L24" i="53606"/>
  <c r="O13" i="53598"/>
  <c r="N11" i="53603"/>
  <c r="F83" i="53606"/>
  <c r="L54" i="53606"/>
  <c r="N12" i="53603"/>
  <c r="K42" i="53604"/>
  <c r="K44" i="53604" s="1"/>
  <c r="M59" i="53606"/>
  <c r="M60" i="53606" s="1"/>
  <c r="L13" i="53604"/>
  <c r="L13" i="53606"/>
  <c r="F78" i="53606"/>
  <c r="L42" i="53604"/>
  <c r="L44" i="53604" s="1"/>
  <c r="K14" i="53602" l="1"/>
  <c r="Q12" i="53598" s="1"/>
  <c r="AA25" i="53598"/>
  <c r="U13" i="53599"/>
  <c r="AA24" i="53598"/>
  <c r="AA26" i="53598" s="1"/>
  <c r="Y26" i="53596" s="1"/>
  <c r="U12" i="53599"/>
  <c r="V15" i="53602"/>
  <c r="AA13" i="53598"/>
  <c r="AA18" i="53598" s="1"/>
  <c r="X42" i="53596"/>
  <c r="X44" i="53596" s="1"/>
  <c r="X46" i="53596" s="1"/>
  <c r="Z6" i="53596"/>
  <c r="Y41" i="53596"/>
  <c r="P26" i="53598"/>
  <c r="N28" i="53604" s="1"/>
  <c r="K24" i="53604"/>
  <c r="L14" i="53596"/>
  <c r="L15" i="53596" s="1"/>
  <c r="H30" i="53601"/>
  <c r="I28" i="53603"/>
  <c r="N28" i="53603" s="1"/>
  <c r="L26" i="53604"/>
  <c r="L30" i="53604" s="1"/>
  <c r="N57" i="53606"/>
  <c r="N58" i="53606" s="1"/>
  <c r="K12" i="53606"/>
  <c r="I30" i="53601"/>
  <c r="L20" i="53596"/>
  <c r="L12" i="53606"/>
  <c r="L22" i="53606"/>
  <c r="L26" i="53606" s="1"/>
  <c r="L30" i="53606" s="1"/>
  <c r="L31" i="53606" s="1"/>
  <c r="N21" i="53598"/>
  <c r="N29" i="53598" s="1"/>
  <c r="N36" i="53598" s="1"/>
  <c r="L22" i="53596"/>
  <c r="K11" i="53606"/>
  <c r="O26" i="53598"/>
  <c r="M26" i="53596" s="1"/>
  <c r="J30" i="53603"/>
  <c r="J36" i="53603" s="1"/>
  <c r="J37" i="53603" s="1"/>
  <c r="H30" i="53603"/>
  <c r="H36" i="53603" s="1"/>
  <c r="H37" i="53603" s="1"/>
  <c r="P6" i="53606"/>
  <c r="Q6" i="53606" s="1"/>
  <c r="N30" i="53601"/>
  <c r="K54" i="53596" s="1"/>
  <c r="O57" i="53606"/>
  <c r="O58" i="53606" s="1"/>
  <c r="L11" i="53606"/>
  <c r="L14" i="53602"/>
  <c r="R12" i="53598" s="1"/>
  <c r="O38" i="53606"/>
  <c r="N21" i="53603"/>
  <c r="N42" i="53606"/>
  <c r="N47" i="53606" s="1"/>
  <c r="Q26" i="53598"/>
  <c r="O26" i="53596" s="1"/>
  <c r="K30" i="53603"/>
  <c r="N15" i="53603"/>
  <c r="L50" i="53606"/>
  <c r="M46" i="53606" s="1"/>
  <c r="M50" i="53606" s="1"/>
  <c r="F68" i="53604"/>
  <c r="F84" i="53606"/>
  <c r="K22" i="53606"/>
  <c r="K26" i="53606" s="1"/>
  <c r="K22" i="53604"/>
  <c r="K26" i="53604" s="1"/>
  <c r="K20" i="53596"/>
  <c r="K24" i="53596" s="1"/>
  <c r="M21" i="53598"/>
  <c r="M29" i="53598" s="1"/>
  <c r="M36" i="53598" s="1"/>
  <c r="M42" i="53604"/>
  <c r="M43" i="53604"/>
  <c r="L36" i="53604"/>
  <c r="L38" i="53604" s="1"/>
  <c r="L73" i="53604" s="1"/>
  <c r="L31" i="53604"/>
  <c r="O42" i="53596"/>
  <c r="O44" i="53596" s="1"/>
  <c r="K28" i="53606"/>
  <c r="K28" i="53604"/>
  <c r="K26" i="53596"/>
  <c r="O14" i="53598"/>
  <c r="O18" i="53598"/>
  <c r="O19" i="53598" s="1"/>
  <c r="R24" i="53598"/>
  <c r="R26" i="53598" s="1"/>
  <c r="L12" i="53599"/>
  <c r="U25" i="53598"/>
  <c r="O13" i="53599"/>
  <c r="O6" i="53604"/>
  <c r="Q6" i="53596"/>
  <c r="P41" i="53596"/>
  <c r="M42" i="53596"/>
  <c r="M44" i="53596" s="1"/>
  <c r="Q17" i="53598"/>
  <c r="K15" i="53602"/>
  <c r="P13" i="53598"/>
  <c r="J17" i="53602"/>
  <c r="O54" i="53606"/>
  <c r="K13" i="53606"/>
  <c r="K13" i="53604"/>
  <c r="K15" i="53604" s="1"/>
  <c r="AB24" i="53598" l="1"/>
  <c r="V12" i="53599"/>
  <c r="V13" i="53599"/>
  <c r="AB25" i="53598"/>
  <c r="AB13" i="53598"/>
  <c r="AB18" i="53598" s="1"/>
  <c r="W15" i="53602"/>
  <c r="Y42" i="53596"/>
  <c r="Y44" i="53596" s="1"/>
  <c r="Y46" i="53596" s="1"/>
  <c r="Z41" i="53596"/>
  <c r="AA6" i="53596"/>
  <c r="L14" i="53606"/>
  <c r="L15" i="53606" s="1"/>
  <c r="N28" i="53606"/>
  <c r="O28" i="53604"/>
  <c r="L24" i="53596"/>
  <c r="L28" i="53596" s="1"/>
  <c r="L32" i="53596" s="1"/>
  <c r="N26" i="53596"/>
  <c r="K54" i="53604"/>
  <c r="K53" i="53604" s="1"/>
  <c r="K52" i="53604" s="1"/>
  <c r="O28" i="53606"/>
  <c r="M28" i="53604"/>
  <c r="K15" i="53606"/>
  <c r="N59" i="53606"/>
  <c r="N60" i="53606" s="1"/>
  <c r="L14" i="53604"/>
  <c r="L15" i="53604" s="1"/>
  <c r="I30" i="53603"/>
  <c r="I36" i="53603" s="1"/>
  <c r="I37" i="53603" s="1"/>
  <c r="L17" i="53606" s="1"/>
  <c r="L36" i="53606"/>
  <c r="L52" i="53606" s="1"/>
  <c r="L89" i="53606" s="1"/>
  <c r="K70" i="53606"/>
  <c r="K71" i="53606" s="1"/>
  <c r="K72" i="53606" s="1"/>
  <c r="O59" i="53606"/>
  <c r="O60" i="53606" s="1"/>
  <c r="M44" i="53604"/>
  <c r="M28" i="53606"/>
  <c r="P57" i="53606"/>
  <c r="P59" i="53606" s="1"/>
  <c r="N36" i="53601"/>
  <c r="N37" i="53601" s="1"/>
  <c r="P38" i="53606"/>
  <c r="P45" i="53606"/>
  <c r="P54" i="53606" s="1"/>
  <c r="K30" i="53604"/>
  <c r="K31" i="53604" s="1"/>
  <c r="L38" i="53596"/>
  <c r="L46" i="53596" s="1"/>
  <c r="L72" i="53596" s="1"/>
  <c r="M14" i="53602"/>
  <c r="S12" i="53598" s="1"/>
  <c r="N48" i="53606"/>
  <c r="N49" i="53606" s="1"/>
  <c r="N30" i="53603"/>
  <c r="K28" i="53596"/>
  <c r="K36" i="53603"/>
  <c r="K37" i="53603" s="1"/>
  <c r="K30" i="53606"/>
  <c r="P18" i="53598"/>
  <c r="P19" i="53598" s="1"/>
  <c r="P14" i="53598"/>
  <c r="M22" i="53606"/>
  <c r="M20" i="53596"/>
  <c r="M22" i="53604"/>
  <c r="O21" i="53598"/>
  <c r="O29" i="53598" s="1"/>
  <c r="O36" i="53598" s="1"/>
  <c r="P42" i="53596"/>
  <c r="P44" i="53596" s="1"/>
  <c r="R6" i="53596"/>
  <c r="Q41" i="53596"/>
  <c r="K53" i="53596"/>
  <c r="K52" i="53596" s="1"/>
  <c r="K55" i="53596"/>
  <c r="K56" i="53596" s="1"/>
  <c r="L15" i="53602"/>
  <c r="Q13" i="53598"/>
  <c r="K17" i="53602"/>
  <c r="S24" i="53598"/>
  <c r="S26" i="53598" s="1"/>
  <c r="M12" i="53599"/>
  <c r="P26" i="53596"/>
  <c r="P28" i="53604"/>
  <c r="P28" i="53606"/>
  <c r="R6" i="53606"/>
  <c r="Q45" i="53606"/>
  <c r="Q38" i="53606"/>
  <c r="Q57" i="53606"/>
  <c r="V25" i="53598"/>
  <c r="P13" i="53599"/>
  <c r="K17" i="53606"/>
  <c r="K17" i="53604"/>
  <c r="P6" i="53604"/>
  <c r="O41" i="53604"/>
  <c r="K16" i="53606"/>
  <c r="L16" i="53606" s="1"/>
  <c r="K16" i="53604"/>
  <c r="R17" i="53598"/>
  <c r="M24" i="53606"/>
  <c r="M24" i="53604"/>
  <c r="M22" i="53596"/>
  <c r="O16" i="53598"/>
  <c r="K55" i="53604" l="1"/>
  <c r="K56" i="53604" s="1"/>
  <c r="N37" i="53603"/>
  <c r="AC24" i="53598"/>
  <c r="W12" i="53599"/>
  <c r="W13" i="53599"/>
  <c r="AC25" i="53598"/>
  <c r="AB26" i="53598"/>
  <c r="Z26" i="53596" s="1"/>
  <c r="AC13" i="53598"/>
  <c r="AC18" i="53598" s="1"/>
  <c r="X15" i="53602"/>
  <c r="AA41" i="53596"/>
  <c r="AB6" i="53596"/>
  <c r="Z42" i="53596"/>
  <c r="Z44" i="53596" s="1"/>
  <c r="Z46" i="53596" s="1"/>
  <c r="L17" i="53604"/>
  <c r="L46" i="53604" s="1"/>
  <c r="L16" i="53604"/>
  <c r="P58" i="53606"/>
  <c r="N39" i="53601"/>
  <c r="N36" i="53603"/>
  <c r="G45" i="53603" s="1"/>
  <c r="K69" i="53606"/>
  <c r="K68" i="53606" s="1"/>
  <c r="L62" i="53606"/>
  <c r="N14" i="53602"/>
  <c r="T12" i="53598" s="1"/>
  <c r="K36" i="53604"/>
  <c r="K38" i="53604" s="1"/>
  <c r="K73" i="53604" s="1"/>
  <c r="P60" i="53606"/>
  <c r="M24" i="53596"/>
  <c r="M28" i="53596" s="1"/>
  <c r="M26" i="53606"/>
  <c r="M30" i="53606" s="1"/>
  <c r="M36" i="53606" s="1"/>
  <c r="K32" i="53596"/>
  <c r="K38" i="53596"/>
  <c r="K46" i="53596" s="1"/>
  <c r="Q18" i="53598"/>
  <c r="Q19" i="53598" s="1"/>
  <c r="Q14" i="53598"/>
  <c r="Q13" i="53599"/>
  <c r="X25" i="53598" s="1"/>
  <c r="W25" i="53598"/>
  <c r="S6" i="53596"/>
  <c r="R41" i="53596"/>
  <c r="K31" i="53606"/>
  <c r="K36" i="53606"/>
  <c r="K52" i="53606" s="1"/>
  <c r="K89" i="53606" s="1"/>
  <c r="Q59" i="53606"/>
  <c r="Q58" i="53606"/>
  <c r="M15" i="53602"/>
  <c r="R13" i="53598"/>
  <c r="L17" i="53602"/>
  <c r="Q42" i="53596"/>
  <c r="Q44" i="53596" s="1"/>
  <c r="O43" i="53604"/>
  <c r="O42" i="53604"/>
  <c r="Q54" i="53606"/>
  <c r="N12" i="53599"/>
  <c r="T24" i="53598"/>
  <c r="T26" i="53598" s="1"/>
  <c r="R57" i="53606"/>
  <c r="R45" i="53606"/>
  <c r="S6" i="53606"/>
  <c r="R38" i="53606"/>
  <c r="Q28" i="53606"/>
  <c r="Q26" i="53596"/>
  <c r="Q28" i="53604"/>
  <c r="N22" i="53606"/>
  <c r="N22" i="53604"/>
  <c r="N20" i="53596"/>
  <c r="P21" i="53598"/>
  <c r="P29" i="53598" s="1"/>
  <c r="P36" i="53598" s="1"/>
  <c r="N24" i="53606"/>
  <c r="P16" i="53598"/>
  <c r="N22" i="53596"/>
  <c r="N24" i="53604"/>
  <c r="Q6" i="53604"/>
  <c r="P46" i="53604"/>
  <c r="P41" i="53604"/>
  <c r="S17" i="53598"/>
  <c r="M26" i="53604"/>
  <c r="M30" i="53604" s="1"/>
  <c r="K72" i="53596" l="1"/>
  <c r="AC26" i="53598"/>
  <c r="AA26" i="53596" s="1"/>
  <c r="X13" i="53599"/>
  <c r="AD25" i="53598"/>
  <c r="X12" i="53599"/>
  <c r="AD24" i="53598"/>
  <c r="Y15" i="53602"/>
  <c r="AD13" i="53598"/>
  <c r="AD18" i="53598" s="1"/>
  <c r="AA42" i="53596"/>
  <c r="AA44" i="53596" s="1"/>
  <c r="AA46" i="53596" s="1"/>
  <c r="AB41" i="53596"/>
  <c r="AC6" i="53596"/>
  <c r="N39" i="53603"/>
  <c r="M32" i="53596"/>
  <c r="O14" i="53602"/>
  <c r="U12" i="53598" s="1"/>
  <c r="M31" i="53606"/>
  <c r="K46" i="53604"/>
  <c r="M38" i="53596"/>
  <c r="M46" i="53596" s="1"/>
  <c r="M72" i="53596" s="1"/>
  <c r="N26" i="53604"/>
  <c r="N30" i="53604" s="1"/>
  <c r="N41" i="53604" s="1"/>
  <c r="Q60" i="53606"/>
  <c r="H70" i="53606"/>
  <c r="L70" i="53606" s="1"/>
  <c r="M70" i="53606" s="1"/>
  <c r="H69" i="53606"/>
  <c r="L69" i="53606" s="1"/>
  <c r="M69" i="53606" s="1"/>
  <c r="H72" i="53606"/>
  <c r="L72" i="53606" s="1"/>
  <c r="M72" i="53606" s="1"/>
  <c r="O44" i="53604"/>
  <c r="H68" i="53606"/>
  <c r="L68" i="53606" s="1"/>
  <c r="M68" i="53606" s="1"/>
  <c r="M52" i="53606"/>
  <c r="M89" i="53606" s="1"/>
  <c r="H71" i="53606"/>
  <c r="L71" i="53606" s="1"/>
  <c r="M71" i="53606" s="1"/>
  <c r="S41" i="53596"/>
  <c r="T6" i="53596"/>
  <c r="R28" i="53604"/>
  <c r="R28" i="53606"/>
  <c r="R26" i="53596"/>
  <c r="N24" i="53596"/>
  <c r="N28" i="53596" s="1"/>
  <c r="S45" i="53606"/>
  <c r="S57" i="53606"/>
  <c r="S38" i="53606"/>
  <c r="T6" i="53606"/>
  <c r="K62" i="53606"/>
  <c r="M31" i="53604"/>
  <c r="H53" i="53604"/>
  <c r="L53" i="53604" s="1"/>
  <c r="M53" i="53604" s="1"/>
  <c r="M36" i="53604"/>
  <c r="M38" i="53604" s="1"/>
  <c r="H55" i="53604"/>
  <c r="L55" i="53604" s="1"/>
  <c r="M55" i="53604" s="1"/>
  <c r="H52" i="53604"/>
  <c r="L52" i="53604" s="1"/>
  <c r="M52" i="53604" s="1"/>
  <c r="H54" i="53604"/>
  <c r="L54" i="53604" s="1"/>
  <c r="M54" i="53604" s="1"/>
  <c r="H56" i="53604"/>
  <c r="L56" i="53604" s="1"/>
  <c r="M56" i="53604" s="1"/>
  <c r="O12" i="53599"/>
  <c r="U24" i="53598"/>
  <c r="U26" i="53598" s="1"/>
  <c r="N26" i="53606"/>
  <c r="N30" i="53606" s="1"/>
  <c r="P43" i="53604"/>
  <c r="P42" i="53604"/>
  <c r="R6" i="53604"/>
  <c r="Q46" i="53604"/>
  <c r="Q41" i="53604"/>
  <c r="R54" i="53606"/>
  <c r="R18" i="53598"/>
  <c r="R19" i="53598" s="1"/>
  <c r="R14" i="53598"/>
  <c r="R58" i="53606"/>
  <c r="R59" i="53606"/>
  <c r="S13" i="53598"/>
  <c r="N15" i="53602"/>
  <c r="M17" i="53602"/>
  <c r="O22" i="53604"/>
  <c r="O22" i="53606"/>
  <c r="O20" i="53596"/>
  <c r="Q21" i="53598"/>
  <c r="Q29" i="53598" s="1"/>
  <c r="Q36" i="53598" s="1"/>
  <c r="T17" i="53598"/>
  <c r="P14" i="53602"/>
  <c r="R42" i="53596"/>
  <c r="R44" i="53596" s="1"/>
  <c r="O24" i="53604"/>
  <c r="O24" i="53606"/>
  <c r="O22" i="53596"/>
  <c r="Q16" i="53598"/>
  <c r="Y13" i="53599" l="1"/>
  <c r="AE25" i="53598"/>
  <c r="AD26" i="53598"/>
  <c r="AB26" i="53596" s="1"/>
  <c r="Y12" i="53599"/>
  <c r="AE24" i="53598"/>
  <c r="Z15" i="53602"/>
  <c r="AE13" i="53598"/>
  <c r="AE18" i="53598" s="1"/>
  <c r="AC41" i="53596"/>
  <c r="AD6" i="53596"/>
  <c r="AB42" i="53596"/>
  <c r="AB44" i="53596" s="1"/>
  <c r="AB46" i="53596" s="1"/>
  <c r="N31" i="53604"/>
  <c r="O24" i="53596"/>
  <c r="O28" i="53596" s="1"/>
  <c r="O32" i="53596" s="1"/>
  <c r="N36" i="53604"/>
  <c r="N38" i="53604" s="1"/>
  <c r="N73" i="53604" s="1"/>
  <c r="M62" i="53606"/>
  <c r="P44" i="53604"/>
  <c r="R60" i="53606"/>
  <c r="O26" i="53606"/>
  <c r="O30" i="53606" s="1"/>
  <c r="O31" i="53606" s="1"/>
  <c r="S6" i="53604"/>
  <c r="R46" i="53604"/>
  <c r="R41" i="53604"/>
  <c r="S58" i="53606"/>
  <c r="S59" i="53606"/>
  <c r="O26" i="53604"/>
  <c r="O30" i="53604" s="1"/>
  <c r="T41" i="53596"/>
  <c r="U6" i="53596"/>
  <c r="S42" i="53596"/>
  <c r="S44" i="53596" s="1"/>
  <c r="N36" i="53606"/>
  <c r="N52" i="53606" s="1"/>
  <c r="N31" i="53606"/>
  <c r="H39" i="53606" s="1"/>
  <c r="M73" i="53604"/>
  <c r="M46" i="53604"/>
  <c r="S54" i="53606"/>
  <c r="P22" i="53606"/>
  <c r="P22" i="53604"/>
  <c r="R21" i="53598"/>
  <c r="R29" i="53598" s="1"/>
  <c r="R36" i="53598" s="1"/>
  <c r="P20" i="53596"/>
  <c r="N42" i="53604"/>
  <c r="N43" i="53604"/>
  <c r="V12" i="53598"/>
  <c r="Q14" i="53602"/>
  <c r="P24" i="53606"/>
  <c r="P24" i="53604"/>
  <c r="P22" i="53596"/>
  <c r="R16" i="53598"/>
  <c r="U17" i="53598"/>
  <c r="O15" i="53602"/>
  <c r="T13" i="53598"/>
  <c r="N17" i="53602"/>
  <c r="T38" i="53606"/>
  <c r="U6" i="53606"/>
  <c r="T45" i="53606"/>
  <c r="T57" i="53606"/>
  <c r="S18" i="53598"/>
  <c r="S19" i="53598" s="1"/>
  <c r="S14" i="53598"/>
  <c r="Q42" i="53604"/>
  <c r="Q43" i="53604"/>
  <c r="S28" i="53606"/>
  <c r="S28" i="53604"/>
  <c r="S26" i="53596"/>
  <c r="N32" i="53596"/>
  <c r="N38" i="53596"/>
  <c r="N41" i="53596"/>
  <c r="P12" i="53599"/>
  <c r="V24" i="53598"/>
  <c r="V26" i="53598" s="1"/>
  <c r="Z13" i="53599" l="1"/>
  <c r="AF25" i="53598"/>
  <c r="AE26" i="53598"/>
  <c r="AC26" i="53596" s="1"/>
  <c r="Z12" i="53599"/>
  <c r="AF24" i="53598"/>
  <c r="AA15" i="53602"/>
  <c r="AG13" i="53598" s="1"/>
  <c r="AG18" i="53598" s="1"/>
  <c r="AF13" i="53598"/>
  <c r="AF18" i="53598" s="1"/>
  <c r="AE6" i="53596"/>
  <c r="AD41" i="53596"/>
  <c r="AC42" i="53596"/>
  <c r="AC44" i="53596" s="1"/>
  <c r="AC46" i="53596" s="1"/>
  <c r="O36" i="53606"/>
  <c r="O38" i="53596"/>
  <c r="Q44" i="53604"/>
  <c r="N44" i="53604"/>
  <c r="N46" i="53604" s="1"/>
  <c r="S60" i="53606"/>
  <c r="P26" i="53604"/>
  <c r="P30" i="53604" s="1"/>
  <c r="P36" i="53604" s="1"/>
  <c r="P38" i="53604" s="1"/>
  <c r="P73" i="53604" s="1"/>
  <c r="P26" i="53606"/>
  <c r="P30" i="53606" s="1"/>
  <c r="P36" i="53606" s="1"/>
  <c r="N89" i="53606"/>
  <c r="H42" i="53606"/>
  <c r="N45" i="53606"/>
  <c r="T54" i="53606"/>
  <c r="V17" i="53598"/>
  <c r="O36" i="53604"/>
  <c r="O38" i="53604" s="1"/>
  <c r="O31" i="53604"/>
  <c r="U38" i="53606"/>
  <c r="U45" i="53606"/>
  <c r="V6" i="53606"/>
  <c r="R43" i="53604"/>
  <c r="R42" i="53604"/>
  <c r="T58" i="53606"/>
  <c r="T59" i="53606"/>
  <c r="P31" i="53606"/>
  <c r="T28" i="53606"/>
  <c r="T26" i="53596"/>
  <c r="T28" i="53604"/>
  <c r="Q12" i="53599"/>
  <c r="X24" i="53598" s="1"/>
  <c r="X26" i="53598" s="1"/>
  <c r="W24" i="53598"/>
  <c r="W26" i="53598" s="1"/>
  <c r="Q22" i="53606"/>
  <c r="Q20" i="53596"/>
  <c r="Q22" i="53604"/>
  <c r="S21" i="53598"/>
  <c r="S29" i="53598" s="1"/>
  <c r="S36" i="53598" s="1"/>
  <c r="Q24" i="53606"/>
  <c r="Q24" i="53604"/>
  <c r="Q22" i="53596"/>
  <c r="S16" i="53598"/>
  <c r="P24" i="53596"/>
  <c r="P28" i="53596" s="1"/>
  <c r="V6" i="53596"/>
  <c r="P15" i="53602"/>
  <c r="U13" i="53598"/>
  <c r="O17" i="53602"/>
  <c r="N42" i="53596"/>
  <c r="N44" i="53596" s="1"/>
  <c r="N46" i="53596" s="1"/>
  <c r="T18" i="53598"/>
  <c r="T19" i="53598" s="1"/>
  <c r="T14" i="53598"/>
  <c r="W12" i="53598"/>
  <c r="R14" i="53602"/>
  <c r="S14" i="53602" s="1"/>
  <c r="T42" i="53596"/>
  <c r="T44" i="53596" s="1"/>
  <c r="T6" i="53604"/>
  <c r="S46" i="53604"/>
  <c r="S41" i="53604"/>
  <c r="O73" i="53604" l="1"/>
  <c r="O46" i="53604"/>
  <c r="O46" i="53596"/>
  <c r="O72" i="53596" s="1"/>
  <c r="T14" i="53602"/>
  <c r="Y12" i="53598"/>
  <c r="S17" i="53602"/>
  <c r="Q24" i="53596"/>
  <c r="Q28" i="53596" s="1"/>
  <c r="Q38" i="53596" s="1"/>
  <c r="AG25" i="53598"/>
  <c r="AF26" i="53598"/>
  <c r="AD26" i="53596" s="1"/>
  <c r="AG24" i="53598"/>
  <c r="AE41" i="53596"/>
  <c r="AD42" i="53596"/>
  <c r="AD44" i="53596" s="1"/>
  <c r="AD46" i="53596" s="1"/>
  <c r="P31" i="53604"/>
  <c r="T60" i="53606"/>
  <c r="Q26" i="53606"/>
  <c r="Q30" i="53606" s="1"/>
  <c r="Q31" i="53606" s="1"/>
  <c r="R44" i="53604"/>
  <c r="N72" i="53596"/>
  <c r="V41" i="53596"/>
  <c r="Q36" i="53606"/>
  <c r="X12" i="53598"/>
  <c r="U18" i="53598"/>
  <c r="U19" i="53598" s="1"/>
  <c r="U14" i="53598"/>
  <c r="V28" i="53604"/>
  <c r="V28" i="53606"/>
  <c r="V26" i="53596"/>
  <c r="V42" i="53606"/>
  <c r="V47" i="53606" s="1"/>
  <c r="V62" i="53606"/>
  <c r="V57" i="53606"/>
  <c r="V45" i="53606"/>
  <c r="V38" i="53606"/>
  <c r="T46" i="53604"/>
  <c r="T41" i="53604"/>
  <c r="U6" i="53604"/>
  <c r="P38" i="53596"/>
  <c r="P32" i="53596"/>
  <c r="U28" i="53606"/>
  <c r="U26" i="53596"/>
  <c r="U28" i="53604"/>
  <c r="W17" i="53598"/>
  <c r="U54" i="53606"/>
  <c r="R24" i="53606"/>
  <c r="R24" i="53604"/>
  <c r="R22" i="53596"/>
  <c r="T16" i="53598"/>
  <c r="N46" i="53606"/>
  <c r="N50" i="53606" s="1"/>
  <c r="O46" i="53606" s="1"/>
  <c r="N54" i="53606"/>
  <c r="N62" i="53606" s="1"/>
  <c r="O42" i="53606"/>
  <c r="P42" i="53606"/>
  <c r="P47" i="53606" s="1"/>
  <c r="Q42" i="53606"/>
  <c r="Q47" i="53606" s="1"/>
  <c r="R42" i="53606"/>
  <c r="R47" i="53606" s="1"/>
  <c r="S42" i="53606"/>
  <c r="S47" i="53606" s="1"/>
  <c r="T42" i="53606"/>
  <c r="T47" i="53606" s="1"/>
  <c r="Q15" i="53602"/>
  <c r="V13" i="53598"/>
  <c r="P17" i="53602"/>
  <c r="S43" i="53604"/>
  <c r="S42" i="53604"/>
  <c r="R20" i="53596"/>
  <c r="R22" i="53604"/>
  <c r="R22" i="53606"/>
  <c r="T21" i="53598"/>
  <c r="T29" i="53598" s="1"/>
  <c r="T36" i="53598" s="1"/>
  <c r="Q26" i="53604"/>
  <c r="Q30" i="53604" s="1"/>
  <c r="U42" i="53606"/>
  <c r="U47" i="53606" s="1"/>
  <c r="Q46" i="53596" l="1"/>
  <c r="Q72" i="53596" s="1"/>
  <c r="Y17" i="53598"/>
  <c r="Y19" i="53598" s="1"/>
  <c r="Y14" i="53598"/>
  <c r="Q32" i="53596"/>
  <c r="Z12" i="53598"/>
  <c r="T17" i="53602"/>
  <c r="U14" i="53602"/>
  <c r="P46" i="53596"/>
  <c r="P72" i="53596" s="1"/>
  <c r="AG26" i="53598"/>
  <c r="AE26" i="53596" s="1"/>
  <c r="AE42" i="53596"/>
  <c r="AE44" i="53596" s="1"/>
  <c r="AE46" i="53596" s="1"/>
  <c r="R24" i="53596"/>
  <c r="R28" i="53596" s="1"/>
  <c r="R38" i="53596" s="1"/>
  <c r="S44" i="53604"/>
  <c r="S22" i="53604"/>
  <c r="U21" i="53598"/>
  <c r="U29" i="53598" s="1"/>
  <c r="U36" i="53598" s="1"/>
  <c r="S22" i="53606"/>
  <c r="S20" i="53596"/>
  <c r="V59" i="53606"/>
  <c r="V58" i="53606"/>
  <c r="U46" i="53604"/>
  <c r="V6" i="53604"/>
  <c r="U41" i="53604"/>
  <c r="S24" i="53604"/>
  <c r="S24" i="53606"/>
  <c r="S22" i="53596"/>
  <c r="U16" i="53598"/>
  <c r="R15" i="53602"/>
  <c r="W13" i="53598"/>
  <c r="Q17" i="53602"/>
  <c r="Q31" i="53604"/>
  <c r="Q36" i="53604"/>
  <c r="Q38" i="53604" s="1"/>
  <c r="Q73" i="53604" s="1"/>
  <c r="V42" i="53596"/>
  <c r="V44" i="53596" s="1"/>
  <c r="V46" i="53596" s="1"/>
  <c r="R26" i="53606"/>
  <c r="R30" i="53606" s="1"/>
  <c r="O47" i="53606"/>
  <c r="O52" i="53606"/>
  <c r="P52" i="53606"/>
  <c r="V54" i="53606"/>
  <c r="X17" i="53598"/>
  <c r="T43" i="53604"/>
  <c r="T42" i="53604"/>
  <c r="Q52" i="53606"/>
  <c r="R26" i="53604"/>
  <c r="R30" i="53604" s="1"/>
  <c r="V18" i="53598"/>
  <c r="V19" i="53598" s="1"/>
  <c r="V14" i="53598"/>
  <c r="AA12" i="53598" l="1"/>
  <c r="U17" i="53602"/>
  <c r="V14" i="53602"/>
  <c r="Z17" i="53598"/>
  <c r="Z19" i="53598" s="1"/>
  <c r="Z14" i="53598"/>
  <c r="W20" i="53596"/>
  <c r="Y21" i="53598"/>
  <c r="Y29" i="53598" s="1"/>
  <c r="Y36" i="53598" s="1"/>
  <c r="W22" i="53596"/>
  <c r="Y16" i="53598"/>
  <c r="R46" i="53596"/>
  <c r="T44" i="53604"/>
  <c r="R32" i="53596"/>
  <c r="S24" i="53596"/>
  <c r="S28" i="53596" s="1"/>
  <c r="S32" i="53596" s="1"/>
  <c r="S26" i="53606"/>
  <c r="S30" i="53606" s="1"/>
  <c r="S26" i="53604"/>
  <c r="S30" i="53604" s="1"/>
  <c r="S36" i="53604" s="1"/>
  <c r="S38" i="53604" s="1"/>
  <c r="S73" i="53604" s="1"/>
  <c r="V60" i="53606"/>
  <c r="R31" i="53606"/>
  <c r="R36" i="53606"/>
  <c r="R52" i="53606" s="1"/>
  <c r="X13" i="53598"/>
  <c r="R17" i="53602"/>
  <c r="R36" i="53604"/>
  <c r="R38" i="53604" s="1"/>
  <c r="R73" i="53604" s="1"/>
  <c r="R31" i="53604"/>
  <c r="S31" i="53606"/>
  <c r="S36" i="53606"/>
  <c r="S52" i="53606" s="1"/>
  <c r="T24" i="53604"/>
  <c r="V16" i="53598"/>
  <c r="T24" i="53606"/>
  <c r="T22" i="53596"/>
  <c r="P89" i="53606"/>
  <c r="P62" i="53606"/>
  <c r="S31" i="53604"/>
  <c r="O89" i="53606"/>
  <c r="O62" i="53606"/>
  <c r="V46" i="53604"/>
  <c r="H65" i="53604" s="1"/>
  <c r="V41" i="53604"/>
  <c r="Q89" i="53606"/>
  <c r="Q62" i="53606"/>
  <c r="T22" i="53604"/>
  <c r="T22" i="53606"/>
  <c r="V21" i="53598"/>
  <c r="V29" i="53598" s="1"/>
  <c r="V36" i="53598" s="1"/>
  <c r="T20" i="53596"/>
  <c r="O48" i="53606"/>
  <c r="O49" i="53606" s="1"/>
  <c r="O50" i="53606" s="1"/>
  <c r="P46" i="53606" s="1"/>
  <c r="W18" i="53598"/>
  <c r="W19" i="53598" s="1"/>
  <c r="W14" i="53598"/>
  <c r="U43" i="53604"/>
  <c r="U42" i="53604"/>
  <c r="W24" i="53596" l="1"/>
  <c r="W28" i="53596" s="1"/>
  <c r="X20" i="53596"/>
  <c r="Z21" i="53598"/>
  <c r="Z29" i="53598" s="1"/>
  <c r="Z36" i="53598" s="1"/>
  <c r="X22" i="53596"/>
  <c r="Z16" i="53598"/>
  <c r="AB12" i="53598"/>
  <c r="W14" i="53602"/>
  <c r="V17" i="53602"/>
  <c r="R72" i="53596"/>
  <c r="AA14" i="53598"/>
  <c r="AA17" i="53598"/>
  <c r="AA19" i="53598" s="1"/>
  <c r="S38" i="53596"/>
  <c r="T24" i="53596"/>
  <c r="T28" i="53596" s="1"/>
  <c r="T32" i="53596" s="1"/>
  <c r="T26" i="53606"/>
  <c r="T30" i="53606" s="1"/>
  <c r="T36" i="53606" s="1"/>
  <c r="U44" i="53604"/>
  <c r="H70" i="53604"/>
  <c r="P48" i="53606"/>
  <c r="P49" i="53606" s="1"/>
  <c r="P50" i="53606" s="1"/>
  <c r="Q46" i="53606" s="1"/>
  <c r="R89" i="53606"/>
  <c r="R62" i="53606"/>
  <c r="T38" i="53596"/>
  <c r="X18" i="53598"/>
  <c r="X19" i="53598" s="1"/>
  <c r="X14" i="53598"/>
  <c r="V43" i="53604"/>
  <c r="V42" i="53604"/>
  <c r="U24" i="53604"/>
  <c r="U24" i="53606"/>
  <c r="U22" i="53596"/>
  <c r="W16" i="53598"/>
  <c r="S89" i="53606"/>
  <c r="S62" i="53606"/>
  <c r="T31" i="53606"/>
  <c r="H62" i="53604"/>
  <c r="H63" i="53604"/>
  <c r="H68" i="53604"/>
  <c r="H71" i="53604"/>
  <c r="H67" i="53604"/>
  <c r="H66" i="53604"/>
  <c r="U22" i="53606"/>
  <c r="W21" i="53598"/>
  <c r="W29" i="53598" s="1"/>
  <c r="W36" i="53598" s="1"/>
  <c r="U22" i="53604"/>
  <c r="U20" i="53596"/>
  <c r="U24" i="53596" s="1"/>
  <c r="U28" i="53596" s="1"/>
  <c r="U41" i="53596" s="1"/>
  <c r="U42" i="53596" s="1"/>
  <c r="U44" i="53596" s="1"/>
  <c r="T26" i="53604"/>
  <c r="T30" i="53604" s="1"/>
  <c r="H64" i="53604"/>
  <c r="AB17" i="53598" l="1"/>
  <c r="AB19" i="53598" s="1"/>
  <c r="AB14" i="53598"/>
  <c r="Y22" i="53596"/>
  <c r="Y24" i="53596" s="1"/>
  <c r="Y28" i="53596" s="1"/>
  <c r="AA16" i="53598"/>
  <c r="W17" i="53602"/>
  <c r="X14" i="53602"/>
  <c r="AC12" i="53598"/>
  <c r="U46" i="53596"/>
  <c r="Y20" i="53596"/>
  <c r="AA21" i="53598"/>
  <c r="AA29" i="53598" s="1"/>
  <c r="AA36" i="53598" s="1"/>
  <c r="X24" i="53596"/>
  <c r="X28" i="53596" s="1"/>
  <c r="T46" i="53596"/>
  <c r="T72" i="53596" s="1"/>
  <c r="W38" i="53596"/>
  <c r="W32" i="53596"/>
  <c r="S46" i="53596"/>
  <c r="S72" i="53596" s="1"/>
  <c r="T52" i="53606"/>
  <c r="T89" i="53606" s="1"/>
  <c r="U26" i="53604"/>
  <c r="U30" i="53604" s="1"/>
  <c r="U26" i="53606"/>
  <c r="U30" i="53606" s="1"/>
  <c r="U36" i="53606" s="1"/>
  <c r="U52" i="53606" s="1"/>
  <c r="V44" i="53604"/>
  <c r="U57" i="53606"/>
  <c r="U32" i="53596"/>
  <c r="U38" i="53596"/>
  <c r="V22" i="53606"/>
  <c r="V22" i="53604"/>
  <c r="X21" i="53598"/>
  <c r="X29" i="53598" s="1"/>
  <c r="X36" i="53598" s="1"/>
  <c r="V20" i="53596"/>
  <c r="U31" i="53604"/>
  <c r="U36" i="53604"/>
  <c r="U38" i="53604" s="1"/>
  <c r="U73" i="53604" s="1"/>
  <c r="V24" i="53606"/>
  <c r="V24" i="53604"/>
  <c r="X16" i="53598"/>
  <c r="V22" i="53596"/>
  <c r="T31" i="53604"/>
  <c r="T36" i="53604"/>
  <c r="T38" i="53604" s="1"/>
  <c r="T73" i="53604" s="1"/>
  <c r="Q48" i="53606"/>
  <c r="Q49" i="53606" s="1"/>
  <c r="Q50" i="53606" s="1"/>
  <c r="R46" i="53606" s="1"/>
  <c r="AC17" i="53598" l="1"/>
  <c r="AC19" i="53598" s="1"/>
  <c r="AC14" i="53598"/>
  <c r="Y14" i="53602"/>
  <c r="X17" i="53602"/>
  <c r="AD12" i="53598"/>
  <c r="X32" i="53596"/>
  <c r="X38" i="53596"/>
  <c r="AB21" i="53598"/>
  <c r="AB29" i="53598" s="1"/>
  <c r="AB36" i="53598" s="1"/>
  <c r="Z20" i="53596"/>
  <c r="Y32" i="53596"/>
  <c r="Y38" i="53596"/>
  <c r="U72" i="53596"/>
  <c r="H61" i="53596"/>
  <c r="H65" i="53596"/>
  <c r="H62" i="53596"/>
  <c r="H67" i="53596"/>
  <c r="H70" i="53596"/>
  <c r="H63" i="53596"/>
  <c r="H69" i="53596"/>
  <c r="H66" i="53596"/>
  <c r="H64" i="53596"/>
  <c r="Z22" i="53596"/>
  <c r="AB16" i="53598"/>
  <c r="T62" i="53606"/>
  <c r="V24" i="53596"/>
  <c r="V28" i="53596" s="1"/>
  <c r="U31" i="53606"/>
  <c r="U58" i="53606"/>
  <c r="V32" i="53596"/>
  <c r="V38" i="53596"/>
  <c r="V72" i="53596" s="1"/>
  <c r="H73" i="53596" s="1"/>
  <c r="U89" i="53606"/>
  <c r="V26" i="53604"/>
  <c r="V30" i="53604" s="1"/>
  <c r="R48" i="53606"/>
  <c r="R49" i="53606" s="1"/>
  <c r="R50" i="53606" s="1"/>
  <c r="S46" i="53606" s="1"/>
  <c r="V26" i="53606"/>
  <c r="V30" i="53606" s="1"/>
  <c r="AD17" i="53598" l="1"/>
  <c r="AD19" i="53598" s="1"/>
  <c r="AD14" i="53598"/>
  <c r="AA20" i="53596"/>
  <c r="AC21" i="53598"/>
  <c r="AC29" i="53598" s="1"/>
  <c r="AC36" i="53598" s="1"/>
  <c r="Z14" i="53602"/>
  <c r="AE12" i="53598"/>
  <c r="Y17" i="53602"/>
  <c r="Z24" i="53596"/>
  <c r="Z28" i="53596" s="1"/>
  <c r="AC16" i="53598"/>
  <c r="AA22" i="53596"/>
  <c r="S48" i="53606"/>
  <c r="S49" i="53606" s="1"/>
  <c r="S50" i="53606" s="1"/>
  <c r="T46" i="53606" s="1"/>
  <c r="V36" i="53606"/>
  <c r="V52" i="53606" s="1"/>
  <c r="V89" i="53606" s="1"/>
  <c r="H90" i="53606" s="1"/>
  <c r="V31" i="53606"/>
  <c r="V31" i="53604"/>
  <c r="V36" i="53604"/>
  <c r="V38" i="53604" s="1"/>
  <c r="V73" i="53604" s="1"/>
  <c r="AE17" i="53598" l="1"/>
  <c r="AE19" i="53598" s="1"/>
  <c r="AE14" i="53598"/>
  <c r="Z17" i="53602"/>
  <c r="AF12" i="53598"/>
  <c r="AA14" i="53602"/>
  <c r="AD21" i="53598"/>
  <c r="AD29" i="53598" s="1"/>
  <c r="AD36" i="53598" s="1"/>
  <c r="AB20" i="53596"/>
  <c r="AB24" i="53596" s="1"/>
  <c r="AB28" i="53596" s="1"/>
  <c r="Z38" i="53596"/>
  <c r="Z32" i="53596"/>
  <c r="AA24" i="53596"/>
  <c r="AA28" i="53596" s="1"/>
  <c r="AB22" i="53596"/>
  <c r="AD16" i="53598"/>
  <c r="T48" i="53606"/>
  <c r="T49" i="53606" s="1"/>
  <c r="T50" i="53606" s="1"/>
  <c r="U46" i="53606" s="1"/>
  <c r="H53" i="53596" l="1"/>
  <c r="L53" i="53596" s="1"/>
  <c r="M53" i="53596" s="1"/>
  <c r="H54" i="53596"/>
  <c r="L54" i="53596" s="1"/>
  <c r="M54" i="53596" s="1"/>
  <c r="H52" i="53596"/>
  <c r="L52" i="53596" s="1"/>
  <c r="M52" i="53596" s="1"/>
  <c r="H56" i="53596"/>
  <c r="L56" i="53596" s="1"/>
  <c r="M56" i="53596" s="1"/>
  <c r="H55" i="53596"/>
  <c r="L55" i="53596" s="1"/>
  <c r="M55" i="53596" s="1"/>
  <c r="AB32" i="53596"/>
  <c r="AB38" i="53596"/>
  <c r="AF17" i="53598"/>
  <c r="AF19" i="53598" s="1"/>
  <c r="AF14" i="53598"/>
  <c r="AC20" i="53596"/>
  <c r="AE21" i="53598"/>
  <c r="AE29" i="53598" s="1"/>
  <c r="AE36" i="53598" s="1"/>
  <c r="AG12" i="53598"/>
  <c r="AA17" i="53602"/>
  <c r="AA32" i="53596"/>
  <c r="AA38" i="53596"/>
  <c r="AE16" i="53598"/>
  <c r="AC22" i="53596"/>
  <c r="U48" i="53606"/>
  <c r="U49" i="53606" s="1"/>
  <c r="U50" i="53606" s="1"/>
  <c r="AD22" i="53596" l="1"/>
  <c r="AF16" i="53598"/>
  <c r="AG14" i="53598"/>
  <c r="AG17" i="53598"/>
  <c r="AG19" i="53598" s="1"/>
  <c r="AC24" i="53596"/>
  <c r="AC28" i="53596" s="1"/>
  <c r="AF21" i="53598"/>
  <c r="AF29" i="53598" s="1"/>
  <c r="AF36" i="53598" s="1"/>
  <c r="AD20" i="53596"/>
  <c r="AD24" i="53596" s="1"/>
  <c r="AD28" i="53596" s="1"/>
  <c r="V46" i="53606"/>
  <c r="U59" i="53606"/>
  <c r="U60" i="53606" s="1"/>
  <c r="U62" i="53606" s="1"/>
  <c r="AD38" i="53596" l="1"/>
  <c r="AD32" i="53596"/>
  <c r="AC32" i="53596"/>
  <c r="AC38" i="53596"/>
  <c r="AG16" i="53598"/>
  <c r="AE22" i="53596"/>
  <c r="AE20" i="53596"/>
  <c r="AG21" i="53598"/>
  <c r="AG29" i="53598" s="1"/>
  <c r="AG36" i="53598" s="1"/>
  <c r="H78" i="53606"/>
  <c r="H84" i="53606"/>
  <c r="H80" i="53606"/>
  <c r="H82" i="53606"/>
  <c r="H79" i="53606"/>
  <c r="H87" i="53606"/>
  <c r="H86" i="53606"/>
  <c r="H83" i="53606"/>
  <c r="H81" i="53606"/>
  <c r="V48" i="53606"/>
  <c r="V49" i="53606" s="1"/>
  <c r="V50" i="53606" s="1"/>
  <c r="AE24" i="53596" l="1"/>
  <c r="AE28" i="53596" s="1"/>
  <c r="AE32" i="53596" l="1"/>
  <c r="AE38" i="53596"/>
</calcChain>
</file>

<file path=xl/sharedStrings.xml><?xml version="1.0" encoding="utf-8"?>
<sst xmlns="http://schemas.openxmlformats.org/spreadsheetml/2006/main" count="287" uniqueCount="125">
  <si>
    <t>Total</t>
  </si>
  <si>
    <t>Annual Cash Flows</t>
  </si>
  <si>
    <t>Less:</t>
  </si>
  <si>
    <t>Total Project Cost</t>
  </si>
  <si>
    <t>Equity</t>
  </si>
  <si>
    <t>Total Potential Rental Income</t>
  </si>
  <si>
    <t>Annual</t>
  </si>
  <si>
    <t>Net Operating Income</t>
  </si>
  <si>
    <t>Purchase Price</t>
  </si>
  <si>
    <t>Capital Structure</t>
  </si>
  <si>
    <t>Proceeds from Assumed Sale @ Cap Rate of</t>
  </si>
  <si>
    <t xml:space="preserve">Less: </t>
  </si>
  <si>
    <t>Mortgage Payoff</t>
  </si>
  <si>
    <t>Sale Costs</t>
  </si>
  <si>
    <t>Net Proceeds from Assumed Sale / Reversionary Event</t>
  </si>
  <si>
    <t>Net Present Value @</t>
  </si>
  <si>
    <t>Internal Rate of Return</t>
  </si>
  <si>
    <t>Profit</t>
  </si>
  <si>
    <t>Valuation and Metrics</t>
  </si>
  <si>
    <t>Project Costs</t>
  </si>
  <si>
    <t>Acquisition Costs</t>
  </si>
  <si>
    <t>Transfer Costs and Taxes</t>
  </si>
  <si>
    <t>Total Acquisition Costs</t>
  </si>
  <si>
    <t>Legal and Due Diligence Costs</t>
  </si>
  <si>
    <t>Survey &amp; Title</t>
  </si>
  <si>
    <t>Hard Costs</t>
  </si>
  <si>
    <t>Demolition and Grading</t>
  </si>
  <si>
    <t>Sitework</t>
  </si>
  <si>
    <t>Construction</t>
  </si>
  <si>
    <t>Total Hard Costs</t>
  </si>
  <si>
    <t>Soft Costs</t>
  </si>
  <si>
    <t>Total Soft Costs</t>
  </si>
  <si>
    <t>Contingency</t>
  </si>
  <si>
    <t>Total Project Costs</t>
  </si>
  <si>
    <t>Project Costs / Uses of Capital</t>
  </si>
  <si>
    <t>Project Capitalization / Sources of Capital</t>
  </si>
  <si>
    <t>Total Capital Structure</t>
  </si>
  <si>
    <t>Debt @</t>
  </si>
  <si>
    <t>Project Funding</t>
  </si>
  <si>
    <t>Acquisition and Costs</t>
  </si>
  <si>
    <t>Project Development</t>
  </si>
  <si>
    <t>Rent Roll &amp; Leasing Assumptions</t>
  </si>
  <si>
    <t>Tenant Roster</t>
  </si>
  <si>
    <t>Size</t>
  </si>
  <si>
    <t>(Sq.Ft.)</t>
  </si>
  <si>
    <t>$/Sq.Ft.</t>
  </si>
  <si>
    <t>Base Rent</t>
  </si>
  <si>
    <t>Tenant</t>
  </si>
  <si>
    <t>Gross Potential Revenues</t>
  </si>
  <si>
    <t>Potential Base Rental Income</t>
  </si>
  <si>
    <t>Total Potential Base Rental Income</t>
  </si>
  <si>
    <t>Vacancy &amp; Credit Loss</t>
  </si>
  <si>
    <t>Total Vacancy &amp; Credit Loss</t>
  </si>
  <si>
    <t>Effective Gross Revenue</t>
  </si>
  <si>
    <t>Operating Expenses</t>
  </si>
  <si>
    <t>Operational Costs</t>
  </si>
  <si>
    <t>Replacement Reserves @</t>
  </si>
  <si>
    <t>Total Operating Expenses</t>
  </si>
  <si>
    <t>Operating Costs</t>
  </si>
  <si>
    <t>Reserves for Repairs / Replacements @</t>
  </si>
  <si>
    <t>Inflation Rate</t>
  </si>
  <si>
    <t>Expense Rates</t>
  </si>
  <si>
    <t>Operating Expense Rates</t>
  </si>
  <si>
    <t>Assumed Property Sale / Reversionary Event in Year</t>
  </si>
  <si>
    <t>Total Project Cash Flows - Unleveraged</t>
  </si>
  <si>
    <t>Project Cash Flows - Unleveraged</t>
  </si>
  <si>
    <t>Cash Flows - Unleveraged</t>
  </si>
  <si>
    <t>Valuation @ Cap Rate of</t>
  </si>
  <si>
    <t>Annual Cash-on-Cash Returns - Unleveraged</t>
  </si>
  <si>
    <t>Architectural &amp; Legal</t>
  </si>
  <si>
    <t>Interest &amp; Expense Carry</t>
  </si>
  <si>
    <t>Tenant Improvements</t>
  </si>
  <si>
    <t>Leasing Commissions</t>
  </si>
  <si>
    <t>Leasing Costs</t>
  </si>
  <si>
    <t>Total Leasing Costs</t>
  </si>
  <si>
    <t>Net Operating Income after Leasing Costs</t>
  </si>
  <si>
    <t>Leasing Expenses</t>
  </si>
  <si>
    <t>provides an indication of asset value on the basis of a capitalization of its expected net operating income.  In this example, the asset's 1st year stabilized NOI is used.</t>
  </si>
  <si>
    <t>this is the present value of expected future cash flows (including an assumed reversionary value) at a discount (i.e., required return) rate of "x".</t>
  </si>
  <si>
    <t>this is the discount rate that equates the assumed initial investment to the present value of expected future cash flows.</t>
  </si>
  <si>
    <t>Escalation Factor</t>
  </si>
  <si>
    <t>……….</t>
  </si>
  <si>
    <t>Valuation</t>
  </si>
  <si>
    <t>Cost</t>
  </si>
  <si>
    <t>Margin</t>
  </si>
  <si>
    <t>Single PD Analysis</t>
  </si>
  <si>
    <t>Tenant #1</t>
  </si>
  <si>
    <t>Tenant #2</t>
  </si>
  <si>
    <t>Multi PD Analysis</t>
  </si>
  <si>
    <t>10-Year Average</t>
  </si>
  <si>
    <t>Profit based on Multi-Year Hold</t>
  </si>
  <si>
    <t>Interest Reserve Calculation</t>
  </si>
  <si>
    <t>Interest Rate</t>
  </si>
  <si>
    <t>Assume Loan Outstanding (Yrs)</t>
  </si>
  <si>
    <t>Interest Reserve (Plug Into Budget)</t>
  </si>
  <si>
    <t>Cash Flows - Leveraged</t>
  </si>
  <si>
    <t>Debt Service (funded from Reserve during Development)</t>
  </si>
  <si>
    <t>Cash Flow from Operations</t>
  </si>
  <si>
    <t>Single PD (Unlever'd)</t>
  </si>
  <si>
    <t>Multi-Period Analysis</t>
  </si>
  <si>
    <t>(Equity / Leveraged)</t>
  </si>
  <si>
    <t>Total Project Cash Flows - Leveraged</t>
  </si>
  <si>
    <t>Equity Invested (in Pd.)</t>
  </si>
  <si>
    <t>Value at Cap Rate of</t>
  </si>
  <si>
    <t>A&amp;D Loan Debt Service (funded from Reserve during Development)</t>
  </si>
  <si>
    <t>Perm Loan Debt Service</t>
  </si>
  <si>
    <t>New Loan</t>
  </si>
  <si>
    <t>Perm Loan Re-Financing at LTV of</t>
  </si>
  <si>
    <t>PMT at Int. / Amort (Yrs)</t>
  </si>
  <si>
    <t>/</t>
  </si>
  <si>
    <t>Amortization Schedule</t>
  </si>
  <si>
    <t>Begin Balance</t>
  </si>
  <si>
    <t>Payment</t>
  </si>
  <si>
    <t>Interest</t>
  </si>
  <si>
    <t>Principal</t>
  </si>
  <si>
    <t>End Balance</t>
  </si>
  <si>
    <t>Initial Funding</t>
  </si>
  <si>
    <t>Cash Flow from Re-Financing Event</t>
  </si>
  <si>
    <t>Assume Re-Fi End of Pd</t>
  </si>
  <si>
    <t>Multi-Year Average</t>
  </si>
  <si>
    <t>Unleveraged Cash Flow</t>
  </si>
  <si>
    <t>Leveraged Cash Flow</t>
  </si>
  <si>
    <t>*Note: Adapted by Christopher Andrade from template originally developed by Andrew Manley, Professor of JHU Real Estate Entrepreneurship Course</t>
  </si>
  <si>
    <t>Veteran Villace Inc.</t>
  </si>
  <si>
    <t xml:space="preserve">Vet Village- Affordable Housing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</si>
</sst>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(&quot;$&quot;* #,##0_);_(&quot;$&quot;* \(#,##0\);_(&quot;$&quot;* &quot;-&quot;??_);_(@_)"/>
    <numFmt numFmtId="167" formatCode="&quot;Year &quot;##"/>
    <numFmt numFmtId="168" formatCode="&quot;t = 0&quot;"/>
    <numFmt numFmtId="169" formatCode="_(&quot;$&quot;* #,##0_);_(&quot;$&quot;* \(#,##0\);_(&quot;$&quot;* &quot;-&quot;?_);_(@_)"/>
  </numFmts>
  <fonts count="2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sz val="12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sz val="8"/>
      <name val="Calibri"/>
      <family val="2"/>
      <scheme val="minor"/>
    </font>
    <font>
      <b/>
      <u/>
      <sz val="8"/>
      <name val="Calibri"/>
      <family val="2"/>
      <scheme val="minor"/>
    </font>
    <font>
      <u/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8"/>
      <color theme="0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0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i/>
      <sz val="10"/>
      <color rgb="FF0070C0"/>
      <name val="Calibri"/>
      <family val="2"/>
      <scheme val="minor"/>
    </font>
    <font>
      <i/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8"/>
      <color theme="1"/>
      <name val="Arial"/>
      <family val="2"/>
    </font>
    <font>
      <sz val="9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9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</cellStyleXfs>
  <cellXfs count="250">
    <xf numFmtId="0" fontId="0" fillId="0" borderId="0" xfId="0"/>
    <xf numFmtId="0" fontId="3" fillId="0" borderId="0" xfId="0" applyFont="1"/>
    <xf numFmtId="0" fontId="3" fillId="0" borderId="3" xfId="0" applyFont="1" applyBorder="1"/>
    <xf numFmtId="0" fontId="6" fillId="2" borderId="0" xfId="0" applyFont="1" applyFill="1"/>
    <xf numFmtId="0" fontId="6" fillId="2" borderId="2" xfId="0" applyFont="1" applyFill="1" applyBorder="1"/>
    <xf numFmtId="0" fontId="6" fillId="0" borderId="0" xfId="0" applyFont="1"/>
    <xf numFmtId="0" fontId="9" fillId="0" borderId="0" xfId="0" applyFont="1"/>
    <xf numFmtId="0" fontId="6" fillId="0" borderId="3" xfId="0" applyFont="1" applyBorder="1"/>
    <xf numFmtId="0" fontId="10" fillId="0" borderId="0" xfId="0" applyFont="1"/>
    <xf numFmtId="0" fontId="5" fillId="0" borderId="0" xfId="0" applyFont="1"/>
    <xf numFmtId="0" fontId="3" fillId="2" borderId="0" xfId="0" applyFont="1" applyFill="1"/>
    <xf numFmtId="37" fontId="12" fillId="2" borderId="0" xfId="0" applyNumberFormat="1" applyFont="1" applyFill="1"/>
    <xf numFmtId="37" fontId="13" fillId="0" borderId="0" xfId="0" applyNumberFormat="1" applyFont="1" applyAlignment="1">
      <alignment horizontal="center"/>
    </xf>
    <xf numFmtId="37" fontId="11" fillId="0" borderId="0" xfId="0" applyNumberFormat="1" applyFont="1" applyAlignment="1">
      <alignment horizontal="center"/>
    </xf>
    <xf numFmtId="0" fontId="11" fillId="0" borderId="0" xfId="0" applyFont="1"/>
    <xf numFmtId="166" fontId="6" fillId="0" borderId="0" xfId="2" applyNumberFormat="1" applyFont="1"/>
    <xf numFmtId="165" fontId="6" fillId="0" borderId="0" xfId="1" applyNumberFormat="1" applyFont="1"/>
    <xf numFmtId="37" fontId="7" fillId="0" borderId="0" xfId="0" applyNumberFormat="1" applyFont="1" applyAlignment="1">
      <alignment horizontal="center"/>
    </xf>
    <xf numFmtId="165" fontId="6" fillId="0" borderId="3" xfId="1" applyNumberFormat="1" applyFont="1" applyBorder="1"/>
    <xf numFmtId="0" fontId="7" fillId="0" borderId="0" xfId="0" applyFont="1"/>
    <xf numFmtId="166" fontId="7" fillId="0" borderId="0" xfId="0" applyNumberFormat="1" applyFont="1"/>
    <xf numFmtId="0" fontId="7" fillId="0" borderId="3" xfId="0" applyFont="1" applyBorder="1" applyAlignment="1">
      <alignment horizontal="center"/>
    </xf>
    <xf numFmtId="166" fontId="6" fillId="0" borderId="0" xfId="0" applyNumberFormat="1" applyFont="1"/>
    <xf numFmtId="166" fontId="6" fillId="0" borderId="3" xfId="0" applyNumberFormat="1" applyFont="1" applyBorder="1"/>
    <xf numFmtId="0" fontId="8" fillId="0" borderId="3" xfId="0" applyFont="1" applyBorder="1"/>
    <xf numFmtId="0" fontId="6" fillId="0" borderId="9" xfId="0" applyFont="1" applyBorder="1"/>
    <xf numFmtId="0" fontId="0" fillId="2" borderId="2" xfId="0" applyFill="1" applyBorder="1"/>
    <xf numFmtId="37" fontId="7" fillId="2" borderId="1" xfId="0" applyNumberFormat="1" applyFont="1" applyFill="1" applyBorder="1" applyAlignment="1">
      <alignment horizontal="center"/>
    </xf>
    <xf numFmtId="0" fontId="10" fillId="2" borderId="0" xfId="0" applyFont="1" applyFill="1"/>
    <xf numFmtId="166" fontId="6" fillId="2" borderId="3" xfId="2" applyNumberFormat="1" applyFont="1" applyFill="1" applyBorder="1"/>
    <xf numFmtId="166" fontId="6" fillId="2" borderId="0" xfId="2" applyNumberFormat="1" applyFont="1" applyFill="1"/>
    <xf numFmtId="0" fontId="0" fillId="2" borderId="0" xfId="0" applyFill="1"/>
    <xf numFmtId="0" fontId="15" fillId="3" borderId="11" xfId="0" applyFont="1" applyFill="1" applyBorder="1"/>
    <xf numFmtId="0" fontId="15" fillId="3" borderId="7" xfId="0" applyFont="1" applyFill="1" applyBorder="1"/>
    <xf numFmtId="0" fontId="8" fillId="0" borderId="0" xfId="0" applyFont="1"/>
    <xf numFmtId="0" fontId="2" fillId="0" borderId="0" xfId="0" applyFont="1"/>
    <xf numFmtId="0" fontId="6" fillId="0" borderId="12" xfId="0" applyFont="1" applyBorder="1"/>
    <xf numFmtId="0" fontId="1" fillId="2" borderId="0" xfId="0" applyFont="1" applyFill="1"/>
    <xf numFmtId="38" fontId="14" fillId="3" borderId="10" xfId="7" applyNumberFormat="1" applyFont="1" applyFill="1" applyBorder="1"/>
    <xf numFmtId="38" fontId="7" fillId="2" borderId="0" xfId="7" applyNumberFormat="1" applyFont="1" applyFill="1"/>
    <xf numFmtId="0" fontId="5" fillId="2" borderId="0" xfId="0" applyFont="1" applyFill="1"/>
    <xf numFmtId="167" fontId="7" fillId="2" borderId="6" xfId="0" applyNumberFormat="1" applyFont="1" applyFill="1" applyBorder="1" applyAlignment="1">
      <alignment horizontal="center"/>
    </xf>
    <xf numFmtId="167" fontId="7" fillId="2" borderId="8" xfId="0" applyNumberFormat="1" applyFont="1" applyFill="1" applyBorder="1" applyAlignment="1">
      <alignment horizontal="center"/>
    </xf>
    <xf numFmtId="167" fontId="7" fillId="2" borderId="5" xfId="0" applyNumberFormat="1" applyFont="1" applyFill="1" applyBorder="1" applyAlignment="1">
      <alignment horizontal="center"/>
    </xf>
    <xf numFmtId="0" fontId="15" fillId="2" borderId="0" xfId="0" applyFont="1" applyFill="1"/>
    <xf numFmtId="0" fontId="0" fillId="0" borderId="3" xfId="0" applyBorder="1"/>
    <xf numFmtId="38" fontId="14" fillId="2" borderId="0" xfId="7" applyNumberFormat="1" applyFont="1" applyFill="1"/>
    <xf numFmtId="166" fontId="7" fillId="0" borderId="3" xfId="0" applyNumberFormat="1" applyFont="1" applyBorder="1"/>
    <xf numFmtId="164" fontId="18" fillId="0" borderId="0" xfId="4" applyNumberFormat="1" applyFont="1"/>
    <xf numFmtId="166" fontId="19" fillId="0" borderId="0" xfId="2" applyNumberFormat="1" applyFont="1"/>
    <xf numFmtId="165" fontId="19" fillId="0" borderId="0" xfId="1" applyNumberFormat="1" applyFont="1"/>
    <xf numFmtId="166" fontId="18" fillId="0" borderId="0" xfId="2" applyNumberFormat="1" applyFont="1"/>
    <xf numFmtId="166" fontId="6" fillId="0" borderId="9" xfId="0" applyNumberFormat="1" applyFont="1" applyBorder="1"/>
    <xf numFmtId="165" fontId="18" fillId="0" borderId="0" xfId="1" applyNumberFormat="1" applyFont="1"/>
    <xf numFmtId="38" fontId="7" fillId="2" borderId="9" xfId="7" applyNumberFormat="1" applyFont="1" applyFill="1" applyBorder="1"/>
    <xf numFmtId="0" fontId="10" fillId="0" borderId="9" xfId="0" applyFont="1" applyBorder="1"/>
    <xf numFmtId="0" fontId="11" fillId="0" borderId="9" xfId="0" applyFont="1" applyBorder="1"/>
    <xf numFmtId="37" fontId="11" fillId="0" borderId="9" xfId="0" applyNumberFormat="1" applyFont="1" applyBorder="1" applyAlignment="1">
      <alignment horizontal="center"/>
    </xf>
    <xf numFmtId="37" fontId="13" fillId="0" borderId="9" xfId="0" applyNumberFormat="1" applyFont="1" applyBorder="1" applyAlignment="1">
      <alignment horizontal="center"/>
    </xf>
    <xf numFmtId="0" fontId="17" fillId="0" borderId="0" xfId="0" applyFont="1"/>
    <xf numFmtId="164" fontId="8" fillId="2" borderId="0" xfId="4" applyNumberFormat="1" applyFont="1" applyFill="1"/>
    <xf numFmtId="165" fontId="6" fillId="2" borderId="0" xfId="1" applyNumberFormat="1" applyFont="1" applyFill="1"/>
    <xf numFmtId="165" fontId="6" fillId="2" borderId="5" xfId="1" applyNumberFormat="1" applyFont="1" applyFill="1" applyBorder="1"/>
    <xf numFmtId="165" fontId="6" fillId="2" borderId="1" xfId="1" applyNumberFormat="1" applyFont="1" applyFill="1" applyBorder="1"/>
    <xf numFmtId="166" fontId="7" fillId="0" borderId="0" xfId="2" applyNumberFormat="1" applyFont="1" applyBorder="1"/>
    <xf numFmtId="164" fontId="7" fillId="0" borderId="0" xfId="0" applyNumberFormat="1" applyFont="1"/>
    <xf numFmtId="166" fontId="7" fillId="0" borderId="0" xfId="2" applyNumberFormat="1" applyFont="1"/>
    <xf numFmtId="165" fontId="7" fillId="0" borderId="0" xfId="1" applyNumberFormat="1" applyFont="1"/>
    <xf numFmtId="37" fontId="20" fillId="2" borderId="0" xfId="0" applyNumberFormat="1" applyFont="1" applyFill="1"/>
    <xf numFmtId="0" fontId="7" fillId="4" borderId="0" xfId="0" applyFont="1" applyFill="1"/>
    <xf numFmtId="0" fontId="6" fillId="4" borderId="0" xfId="0" applyFont="1" applyFill="1"/>
    <xf numFmtId="37" fontId="11" fillId="4" borderId="0" xfId="0" applyNumberFormat="1" applyFont="1" applyFill="1" applyAlignment="1">
      <alignment horizontal="center"/>
    </xf>
    <xf numFmtId="166" fontId="7" fillId="4" borderId="0" xfId="2" applyNumberFormat="1" applyFont="1" applyFill="1"/>
    <xf numFmtId="0" fontId="7" fillId="2" borderId="0" xfId="0" applyFont="1" applyFill="1"/>
    <xf numFmtId="37" fontId="11" fillId="2" borderId="0" xfId="0" applyNumberFormat="1" applyFont="1" applyFill="1" applyAlignment="1">
      <alignment horizontal="center"/>
    </xf>
    <xf numFmtId="165" fontId="19" fillId="2" borderId="0" xfId="1" applyNumberFormat="1" applyFont="1" applyFill="1"/>
    <xf numFmtId="165" fontId="19" fillId="2" borderId="1" xfId="1" applyNumberFormat="1" applyFont="1" applyFill="1" applyBorder="1"/>
    <xf numFmtId="166" fontId="7" fillId="2" borderId="0" xfId="2" applyNumberFormat="1" applyFont="1" applyFill="1"/>
    <xf numFmtId="166" fontId="18" fillId="2" borderId="0" xfId="2" applyNumberFormat="1" applyFont="1" applyFill="1"/>
    <xf numFmtId="166" fontId="19" fillId="2" borderId="0" xfId="2" applyNumberFormat="1" applyFont="1" applyFill="1"/>
    <xf numFmtId="165" fontId="6" fillId="0" borderId="1" xfId="1" applyNumberFormat="1" applyFont="1" applyBorder="1"/>
    <xf numFmtId="165" fontId="6" fillId="0" borderId="0" xfId="1" applyNumberFormat="1" applyFont="1" applyBorder="1"/>
    <xf numFmtId="166" fontId="7" fillId="4" borderId="0" xfId="2" applyNumberFormat="1" applyFont="1" applyFill="1" applyBorder="1"/>
    <xf numFmtId="0" fontId="7" fillId="0" borderId="9" xfId="0" applyFont="1" applyBorder="1"/>
    <xf numFmtId="166" fontId="7" fillId="0" borderId="9" xfId="2" applyNumberFormat="1" applyFont="1" applyBorder="1"/>
    <xf numFmtId="38" fontId="14" fillId="2" borderId="0" xfId="7" applyNumberFormat="1" applyFont="1" applyFill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" fillId="2" borderId="2" xfId="0" applyFont="1" applyFill="1" applyBorder="1"/>
    <xf numFmtId="0" fontId="3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3" fillId="2" borderId="6" xfId="0" applyFont="1" applyFill="1" applyBorder="1"/>
    <xf numFmtId="166" fontId="7" fillId="0" borderId="0" xfId="2" applyNumberFormat="1" applyFont="1" applyAlignment="1">
      <alignment horizontal="center"/>
    </xf>
    <xf numFmtId="166" fontId="7" fillId="0" borderId="1" xfId="2" applyNumberFormat="1" applyFont="1" applyBorder="1" applyAlignment="1">
      <alignment horizontal="center"/>
    </xf>
    <xf numFmtId="166" fontId="6" fillId="5" borderId="0" xfId="2" applyNumberFormat="1" applyFont="1" applyFill="1"/>
    <xf numFmtId="37" fontId="13" fillId="5" borderId="0" xfId="0" applyNumberFormat="1" applyFont="1" applyFill="1" applyAlignment="1">
      <alignment horizontal="center"/>
    </xf>
    <xf numFmtId="165" fontId="6" fillId="5" borderId="0" xfId="1" applyNumberFormat="1" applyFont="1" applyFill="1"/>
    <xf numFmtId="166" fontId="7" fillId="5" borderId="0" xfId="0" applyNumberFormat="1" applyFont="1" applyFill="1"/>
    <xf numFmtId="165" fontId="6" fillId="5" borderId="0" xfId="1" applyNumberFormat="1" applyFont="1" applyFill="1" applyBorder="1"/>
    <xf numFmtId="37" fontId="12" fillId="0" borderId="0" xfId="0" applyNumberFormat="1" applyFont="1"/>
    <xf numFmtId="44" fontId="18" fillId="0" borderId="0" xfId="2" applyFont="1"/>
    <xf numFmtId="165" fontId="19" fillId="0" borderId="3" xfId="1" applyNumberFormat="1" applyFont="1" applyBorder="1" applyAlignment="1">
      <alignment horizontal="right"/>
    </xf>
    <xf numFmtId="164" fontId="19" fillId="2" borderId="0" xfId="4" applyNumberFormat="1" applyFont="1" applyFill="1" applyBorder="1" applyAlignment="1">
      <alignment horizontal="right"/>
    </xf>
    <xf numFmtId="165" fontId="6" fillId="2" borderId="0" xfId="1" applyNumberFormat="1" applyFont="1" applyFill="1" applyBorder="1" applyAlignment="1">
      <alignment horizontal="right"/>
    </xf>
    <xf numFmtId="165" fontId="6" fillId="2" borderId="3" xfId="1" applyNumberFormat="1" applyFont="1" applyFill="1" applyBorder="1"/>
    <xf numFmtId="0" fontId="7" fillId="0" borderId="13" xfId="0" applyFont="1" applyBorder="1" applyAlignment="1">
      <alignment horizontal="center"/>
    </xf>
    <xf numFmtId="165" fontId="6" fillId="2" borderId="6" xfId="1" applyNumberFormat="1" applyFont="1" applyFill="1" applyBorder="1"/>
    <xf numFmtId="165" fontId="6" fillId="0" borderId="6" xfId="1" applyNumberFormat="1" applyFont="1" applyBorder="1"/>
    <xf numFmtId="164" fontId="8" fillId="0" borderId="0" xfId="4" applyNumberFormat="1" applyFont="1" applyBorder="1"/>
    <xf numFmtId="164" fontId="19" fillId="0" borderId="3" xfId="4" applyNumberFormat="1" applyFont="1" applyBorder="1"/>
    <xf numFmtId="164" fontId="19" fillId="0" borderId="0" xfId="4" applyNumberFormat="1" applyFont="1" applyBorder="1"/>
    <xf numFmtId="164" fontId="21" fillId="0" borderId="0" xfId="4" applyNumberFormat="1" applyFont="1"/>
    <xf numFmtId="165" fontId="19" fillId="0" borderId="0" xfId="1" applyNumberFormat="1" applyFont="1" applyBorder="1"/>
    <xf numFmtId="166" fontId="7" fillId="2" borderId="0" xfId="2" applyNumberFormat="1" applyFont="1" applyFill="1" applyAlignment="1">
      <alignment horizontal="center"/>
    </xf>
    <xf numFmtId="164" fontId="19" fillId="0" borderId="0" xfId="4" applyNumberFormat="1" applyFont="1"/>
    <xf numFmtId="166" fontId="7" fillId="0" borderId="3" xfId="2" applyNumberFormat="1" applyFont="1" applyBorder="1"/>
    <xf numFmtId="168" fontId="7" fillId="2" borderId="6" xfId="0" applyNumberFormat="1" applyFont="1" applyFill="1" applyBorder="1" applyAlignment="1">
      <alignment horizontal="center"/>
    </xf>
    <xf numFmtId="169" fontId="6" fillId="0" borderId="0" xfId="0" applyNumberFormat="1" applyFont="1"/>
    <xf numFmtId="164" fontId="8" fillId="0" borderId="3" xfId="4" applyNumberFormat="1" applyFont="1" applyBorder="1"/>
    <xf numFmtId="164" fontId="6" fillId="0" borderId="0" xfId="4" applyNumberFormat="1" applyFont="1"/>
    <xf numFmtId="38" fontId="7" fillId="6" borderId="0" xfId="7" applyNumberFormat="1" applyFont="1" applyFill="1"/>
    <xf numFmtId="38" fontId="6" fillId="6" borderId="0" xfId="7" applyNumberFormat="1" applyFont="1" applyFill="1"/>
    <xf numFmtId="165" fontId="6" fillId="6" borderId="0" xfId="1" applyNumberFormat="1" applyFont="1" applyFill="1" applyBorder="1" applyAlignment="1">
      <alignment horizontal="center"/>
    </xf>
    <xf numFmtId="38" fontId="7" fillId="6" borderId="0" xfId="7" applyNumberFormat="1" applyFont="1" applyFill="1" applyAlignment="1">
      <alignment horizontal="center"/>
    </xf>
    <xf numFmtId="166" fontId="7" fillId="6" borderId="3" xfId="2" applyNumberFormat="1" applyFont="1" applyFill="1" applyBorder="1"/>
    <xf numFmtId="166" fontId="7" fillId="6" borderId="0" xfId="2" applyNumberFormat="1" applyFont="1" applyFill="1" applyBorder="1"/>
    <xf numFmtId="0" fontId="0" fillId="0" borderId="9" xfId="0" applyBorder="1"/>
    <xf numFmtId="165" fontId="6" fillId="0" borderId="5" xfId="1" applyNumberFormat="1" applyFont="1" applyBorder="1"/>
    <xf numFmtId="0" fontId="22" fillId="0" borderId="0" xfId="0" applyFont="1" applyAlignment="1">
      <alignment horizontal="left"/>
    </xf>
    <xf numFmtId="0" fontId="1" fillId="0" borderId="0" xfId="0" applyFont="1"/>
    <xf numFmtId="164" fontId="18" fillId="2" borderId="0" xfId="4" applyNumberFormat="1" applyFont="1" applyFill="1"/>
    <xf numFmtId="166" fontId="23" fillId="0" borderId="3" xfId="2" applyNumberFormat="1" applyFont="1" applyBorder="1"/>
    <xf numFmtId="166" fontId="23" fillId="0" borderId="0" xfId="2" applyNumberFormat="1" applyFont="1" applyBorder="1"/>
    <xf numFmtId="0" fontId="7" fillId="0" borderId="1" xfId="0" applyFont="1" applyBorder="1"/>
    <xf numFmtId="0" fontId="8" fillId="0" borderId="1" xfId="0" applyFont="1" applyBorder="1"/>
    <xf numFmtId="166" fontId="7" fillId="0" borderId="1" xfId="2" applyNumberFormat="1" applyFont="1" applyBorder="1"/>
    <xf numFmtId="0" fontId="8" fillId="0" borderId="6" xfId="0" applyFont="1" applyBorder="1"/>
    <xf numFmtId="166" fontId="8" fillId="2" borderId="0" xfId="2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166" fontId="7" fillId="7" borderId="16" xfId="0" applyNumberFormat="1" applyFont="1" applyFill="1" applyBorder="1"/>
    <xf numFmtId="166" fontId="7" fillId="7" borderId="15" xfId="0" applyNumberFormat="1" applyFont="1" applyFill="1" applyBorder="1"/>
    <xf numFmtId="0" fontId="7" fillId="7" borderId="0" xfId="0" applyFont="1" applyFill="1"/>
    <xf numFmtId="166" fontId="7" fillId="7" borderId="16" xfId="2" applyNumberFormat="1" applyFont="1" applyFill="1" applyBorder="1"/>
    <xf numFmtId="166" fontId="7" fillId="7" borderId="15" xfId="2" applyNumberFormat="1" applyFont="1" applyFill="1" applyBorder="1"/>
    <xf numFmtId="166" fontId="7" fillId="8" borderId="3" xfId="0" applyNumberFormat="1" applyFont="1" applyFill="1" applyBorder="1"/>
    <xf numFmtId="166" fontId="7" fillId="8" borderId="0" xfId="0" applyNumberFormat="1" applyFont="1" applyFill="1"/>
    <xf numFmtId="0" fontId="7" fillId="8" borderId="0" xfId="0" applyFont="1" applyFill="1"/>
    <xf numFmtId="0" fontId="8" fillId="8" borderId="0" xfId="0" applyFont="1" applyFill="1"/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66" fontId="8" fillId="0" borderId="3" xfId="2" applyNumberFormat="1" applyFont="1" applyBorder="1" applyAlignment="1">
      <alignment horizontal="center" vertical="center" wrapText="1"/>
    </xf>
    <xf numFmtId="166" fontId="6" fillId="2" borderId="5" xfId="2" applyNumberFormat="1" applyFont="1" applyFill="1" applyBorder="1" applyAlignment="1">
      <alignment horizontal="center"/>
    </xf>
    <xf numFmtId="166" fontId="6" fillId="2" borderId="1" xfId="2" applyNumberFormat="1" applyFont="1" applyFill="1" applyBorder="1" applyAlignment="1">
      <alignment horizontal="center"/>
    </xf>
    <xf numFmtId="9" fontId="8" fillId="0" borderId="0" xfId="4" applyFont="1"/>
    <xf numFmtId="166" fontId="6" fillId="2" borderId="5" xfId="2" applyNumberFormat="1" applyFont="1" applyFill="1" applyBorder="1"/>
    <xf numFmtId="166" fontId="6" fillId="2" borderId="1" xfId="2" applyNumberFormat="1" applyFont="1" applyFill="1" applyBorder="1"/>
    <xf numFmtId="44" fontId="19" fillId="0" borderId="14" xfId="2" applyFont="1" applyBorder="1" applyAlignment="1">
      <alignment horizontal="right"/>
    </xf>
    <xf numFmtId="165" fontId="19" fillId="0" borderId="6" xfId="1" applyNumberFormat="1" applyFont="1" applyBorder="1" applyAlignment="1">
      <alignment horizontal="right"/>
    </xf>
    <xf numFmtId="166" fontId="6" fillId="0" borderId="1" xfId="0" applyNumberFormat="1" applyFont="1" applyBorder="1"/>
    <xf numFmtId="37" fontId="13" fillId="0" borderId="1" xfId="0" applyNumberFormat="1" applyFont="1" applyBorder="1" applyAlignment="1">
      <alignment horizontal="center"/>
    </xf>
    <xf numFmtId="165" fontId="6" fillId="2" borderId="1" xfId="1" applyNumberFormat="1" applyFont="1" applyFill="1" applyBorder="1" applyAlignment="1">
      <alignment horizontal="right"/>
    </xf>
    <xf numFmtId="165" fontId="7" fillId="2" borderId="0" xfId="1" applyNumberFormat="1" applyFont="1" applyFill="1"/>
    <xf numFmtId="43" fontId="19" fillId="0" borderId="8" xfId="1" applyFont="1" applyBorder="1" applyAlignment="1">
      <alignment horizontal="right"/>
    </xf>
    <xf numFmtId="0" fontId="24" fillId="0" borderId="0" xfId="0" applyFont="1"/>
    <xf numFmtId="169" fontId="7" fillId="0" borderId="0" xfId="0" applyNumberFormat="1" applyFont="1"/>
    <xf numFmtId="164" fontId="7" fillId="2" borderId="0" xfId="4" applyNumberFormat="1" applyFont="1" applyFill="1" applyBorder="1"/>
    <xf numFmtId="166" fontId="7" fillId="2" borderId="0" xfId="2" applyNumberFormat="1" applyFont="1" applyFill="1" applyBorder="1"/>
    <xf numFmtId="165" fontId="6" fillId="2" borderId="0" xfId="1" applyNumberFormat="1" applyFont="1" applyFill="1" applyBorder="1" applyAlignment="1">
      <alignment horizontal="center"/>
    </xf>
    <xf numFmtId="166" fontId="6" fillId="2" borderId="0" xfId="2" applyNumberFormat="1" applyFont="1" applyFill="1" applyBorder="1"/>
    <xf numFmtId="0" fontId="6" fillId="2" borderId="0" xfId="0" applyFont="1" applyFill="1" applyAlignment="1">
      <alignment horizontal="center"/>
    </xf>
    <xf numFmtId="164" fontId="24" fillId="0" borderId="0" xfId="0" applyNumberFormat="1" applyFont="1"/>
    <xf numFmtId="165" fontId="18" fillId="2" borderId="0" xfId="1" applyNumberFormat="1" applyFont="1" applyFill="1"/>
    <xf numFmtId="169" fontId="0" fillId="0" borderId="0" xfId="0" applyNumberFormat="1"/>
    <xf numFmtId="166" fontId="23" fillId="0" borderId="0" xfId="2" applyNumberFormat="1" applyFont="1"/>
    <xf numFmtId="165" fontId="23" fillId="2" borderId="1" xfId="1" applyNumberFormat="1" applyFont="1" applyFill="1" applyBorder="1"/>
    <xf numFmtId="166" fontId="8" fillId="0" borderId="0" xfId="0" applyNumberFormat="1" applyFont="1"/>
    <xf numFmtId="165" fontId="6" fillId="0" borderId="3" xfId="1" quotePrefix="1" applyNumberFormat="1" applyFont="1" applyBorder="1"/>
    <xf numFmtId="165" fontId="6" fillId="0" borderId="0" xfId="1" quotePrefix="1" applyNumberFormat="1" applyFont="1" applyBorder="1"/>
    <xf numFmtId="165" fontId="6" fillId="0" borderId="6" xfId="1" quotePrefix="1" applyNumberFormat="1" applyFont="1" applyBorder="1"/>
    <xf numFmtId="165" fontId="6" fillId="0" borderId="1" xfId="1" quotePrefix="1" applyNumberFormat="1" applyFont="1" applyBorder="1"/>
    <xf numFmtId="166" fontId="7" fillId="2" borderId="3" xfId="2" applyNumberFormat="1" applyFont="1" applyFill="1" applyBorder="1"/>
    <xf numFmtId="0" fontId="2" fillId="2" borderId="0" xfId="0" applyFont="1" applyFill="1"/>
    <xf numFmtId="0" fontId="17" fillId="2" borderId="0" xfId="0" applyFont="1" applyFill="1"/>
    <xf numFmtId="166" fontId="7" fillId="2" borderId="16" xfId="2" applyNumberFormat="1" applyFont="1" applyFill="1" applyBorder="1"/>
    <xf numFmtId="166" fontId="7" fillId="2" borderId="15" xfId="2" applyNumberFormat="1" applyFont="1" applyFill="1" applyBorder="1"/>
    <xf numFmtId="0" fontId="3" fillId="7" borderId="0" xfId="0" applyFont="1" applyFill="1"/>
    <xf numFmtId="0" fontId="11" fillId="7" borderId="0" xfId="0" applyFont="1" applyFill="1"/>
    <xf numFmtId="37" fontId="11" fillId="7" borderId="0" xfId="0" applyNumberFormat="1" applyFont="1" applyFill="1" applyAlignment="1">
      <alignment horizontal="center"/>
    </xf>
    <xf numFmtId="166" fontId="7" fillId="7" borderId="0" xfId="0" applyNumberFormat="1" applyFont="1" applyFill="1"/>
    <xf numFmtId="0" fontId="8" fillId="7" borderId="0" xfId="0" applyFont="1" applyFill="1"/>
    <xf numFmtId="166" fontId="6" fillId="7" borderId="3" xfId="2" applyNumberFormat="1" applyFont="1" applyFill="1" applyBorder="1"/>
    <xf numFmtId="166" fontId="6" fillId="7" borderId="0" xfId="2" applyNumberFormat="1" applyFont="1" applyFill="1"/>
    <xf numFmtId="165" fontId="8" fillId="0" borderId="0" xfId="1" applyNumberFormat="1" applyFont="1"/>
    <xf numFmtId="0" fontId="8" fillId="10" borderId="0" xfId="0" applyFont="1" applyFill="1"/>
    <xf numFmtId="164" fontId="8" fillId="10" borderId="0" xfId="0" applyNumberFormat="1" applyFont="1" applyFill="1"/>
    <xf numFmtId="0" fontId="7" fillId="10" borderId="0" xfId="0" applyFont="1" applyFill="1"/>
    <xf numFmtId="166" fontId="8" fillId="10" borderId="3" xfId="2" applyNumberFormat="1" applyFont="1" applyFill="1" applyBorder="1"/>
    <xf numFmtId="166" fontId="8" fillId="10" borderId="0" xfId="2" applyNumberFormat="1" applyFont="1" applyFill="1" applyBorder="1"/>
    <xf numFmtId="0" fontId="6" fillId="10" borderId="0" xfId="0" applyFont="1" applyFill="1"/>
    <xf numFmtId="0" fontId="0" fillId="10" borderId="0" xfId="0" applyFill="1"/>
    <xf numFmtId="164" fontId="18" fillId="10" borderId="0" xfId="4" applyNumberFormat="1" applyFont="1" applyFill="1"/>
    <xf numFmtId="165" fontId="6" fillId="10" borderId="3" xfId="1" quotePrefix="1" applyNumberFormat="1" applyFont="1" applyFill="1" applyBorder="1"/>
    <xf numFmtId="165" fontId="6" fillId="10" borderId="0" xfId="1" quotePrefix="1" applyNumberFormat="1" applyFont="1" applyFill="1" applyBorder="1"/>
    <xf numFmtId="166" fontId="6" fillId="10" borderId="0" xfId="2" quotePrefix="1" applyNumberFormat="1" applyFont="1" applyFill="1" applyBorder="1"/>
    <xf numFmtId="0" fontId="6" fillId="10" borderId="0" xfId="0" quotePrefix="1" applyFont="1" applyFill="1"/>
    <xf numFmtId="165" fontId="18" fillId="10" borderId="0" xfId="1" applyNumberFormat="1" applyFont="1" applyFill="1"/>
    <xf numFmtId="10" fontId="6" fillId="10" borderId="0" xfId="4" applyNumberFormat="1" applyFont="1" applyFill="1"/>
    <xf numFmtId="165" fontId="6" fillId="10" borderId="6" xfId="1" quotePrefix="1" applyNumberFormat="1" applyFont="1" applyFill="1" applyBorder="1"/>
    <xf numFmtId="165" fontId="6" fillId="10" borderId="5" xfId="1" quotePrefix="1" applyNumberFormat="1" applyFont="1" applyFill="1" applyBorder="1"/>
    <xf numFmtId="165" fontId="6" fillId="10" borderId="1" xfId="1" quotePrefix="1" applyNumberFormat="1" applyFont="1" applyFill="1" applyBorder="1"/>
    <xf numFmtId="165" fontId="6" fillId="2" borderId="3" xfId="1" quotePrefix="1" applyNumberFormat="1" applyFont="1" applyFill="1" applyBorder="1"/>
    <xf numFmtId="165" fontId="6" fillId="2" borderId="0" xfId="1" quotePrefix="1" applyNumberFormat="1" applyFont="1" applyFill="1" applyBorder="1"/>
    <xf numFmtId="0" fontId="7" fillId="9" borderId="0" xfId="0" applyFont="1" applyFill="1"/>
    <xf numFmtId="0" fontId="8" fillId="9" borderId="0" xfId="0" applyFont="1" applyFill="1"/>
    <xf numFmtId="164" fontId="7" fillId="9" borderId="0" xfId="0" applyNumberFormat="1" applyFont="1" applyFill="1"/>
    <xf numFmtId="164" fontId="8" fillId="9" borderId="3" xfId="4" applyNumberFormat="1" applyFont="1" applyFill="1" applyBorder="1"/>
    <xf numFmtId="164" fontId="8" fillId="9" borderId="0" xfId="4" applyNumberFormat="1" applyFont="1" applyFill="1" applyBorder="1"/>
    <xf numFmtId="166" fontId="23" fillId="2" borderId="0" xfId="2" applyNumberFormat="1" applyFont="1" applyFill="1"/>
    <xf numFmtId="0" fontId="25" fillId="0" borderId="3" xfId="0" applyFont="1" applyBorder="1"/>
    <xf numFmtId="0" fontId="25" fillId="0" borderId="0" xfId="0" applyFont="1"/>
    <xf numFmtId="165" fontId="23" fillId="2" borderId="0" xfId="1" applyNumberFormat="1" applyFont="1" applyFill="1"/>
    <xf numFmtId="165" fontId="23" fillId="0" borderId="0" xfId="1" applyNumberFormat="1" applyFont="1"/>
    <xf numFmtId="166" fontId="7" fillId="8" borderId="16" xfId="0" applyNumberFormat="1" applyFont="1" applyFill="1" applyBorder="1"/>
    <xf numFmtId="166" fontId="7" fillId="8" borderId="15" xfId="0" applyNumberFormat="1" applyFont="1" applyFill="1" applyBorder="1"/>
    <xf numFmtId="166" fontId="7" fillId="11" borderId="0" xfId="2" applyNumberFormat="1" applyFont="1" applyFill="1" applyBorder="1"/>
    <xf numFmtId="169" fontId="7" fillId="9" borderId="0" xfId="0" applyNumberFormat="1" applyFont="1" applyFill="1"/>
    <xf numFmtId="164" fontId="7" fillId="9" borderId="0" xfId="4" applyNumberFormat="1" applyFont="1" applyFill="1" applyBorder="1"/>
    <xf numFmtId="167" fontId="7" fillId="0" borderId="0" xfId="0" applyNumberFormat="1" applyFont="1" applyAlignment="1">
      <alignment horizontal="center"/>
    </xf>
    <xf numFmtId="165" fontId="6" fillId="0" borderId="0" xfId="1" applyNumberFormat="1" applyFont="1" applyFill="1" applyBorder="1"/>
    <xf numFmtId="166" fontId="7" fillId="0" borderId="0" xfId="2" applyNumberFormat="1" applyFont="1" applyFill="1" applyBorder="1"/>
    <xf numFmtId="164" fontId="8" fillId="0" borderId="0" xfId="4" applyNumberFormat="1" applyFont="1" applyFill="1" applyBorder="1"/>
    <xf numFmtId="166" fontId="6" fillId="0" borderId="0" xfId="2" applyNumberFormat="1" applyFont="1" applyFill="1" applyBorder="1"/>
    <xf numFmtId="164" fontId="21" fillId="0" borderId="0" xfId="4" applyNumberFormat="1" applyFont="1" applyFill="1" applyBorder="1"/>
    <xf numFmtId="166" fontId="7" fillId="0" borderId="1" xfId="2" applyNumberFormat="1" applyFont="1" applyBorder="1" applyAlignment="1">
      <alignment horizontal="center"/>
    </xf>
    <xf numFmtId="38" fontId="14" fillId="3" borderId="4" xfId="7" applyNumberFormat="1" applyFont="1" applyFill="1" applyBorder="1" applyAlignment="1">
      <alignment horizontal="center"/>
    </xf>
    <xf numFmtId="38" fontId="14" fillId="3" borderId="0" xfId="7" applyNumberFormat="1" applyFont="1" applyFill="1" applyAlignment="1">
      <alignment horizontal="center"/>
    </xf>
    <xf numFmtId="38" fontId="14" fillId="3" borderId="4" xfId="7" applyNumberFormat="1" applyFont="1" applyFill="1" applyBorder="1" applyAlignment="1">
      <alignment horizontal="left"/>
    </xf>
    <xf numFmtId="38" fontId="14" fillId="3" borderId="0" xfId="7" applyNumberFormat="1" applyFont="1" applyFill="1" applyAlignment="1">
      <alignment horizontal="left"/>
    </xf>
    <xf numFmtId="0" fontId="7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7" fillId="0" borderId="1" xfId="0" applyFont="1" applyBorder="1" applyAlignment="1">
      <alignment horizontal="center"/>
    </xf>
    <xf numFmtId="166" fontId="7" fillId="6" borderId="0" xfId="2" applyNumberFormat="1" applyFont="1" applyFill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7" fillId="0" borderId="5" xfId="0" applyFont="1" applyBorder="1" applyAlignment="1">
      <alignment horizontal="center"/>
    </xf>
  </cellXfs>
  <cellStyles count="11">
    <cellStyle name="Comma" xfId="1" builtinId="3"/>
    <cellStyle name="Comma 2" xfId="9" xr:uid="{00000000-0005-0000-0000-000001000000}"/>
    <cellStyle name="Currency" xfId="2" builtinId="4"/>
    <cellStyle name="Currency 2" xfId="10" xr:uid="{00000000-0005-0000-0000-000003000000}"/>
    <cellStyle name="Normal" xfId="0" builtinId="0"/>
    <cellStyle name="Normal 2" xfId="3" xr:uid="{00000000-0005-0000-0000-000005000000}"/>
    <cellStyle name="Normal 2 2" xfId="7" xr:uid="{00000000-0005-0000-0000-000006000000}"/>
    <cellStyle name="Normal 3" xfId="6" xr:uid="{00000000-0005-0000-0000-000007000000}"/>
    <cellStyle name="Percent" xfId="4" builtinId="5"/>
    <cellStyle name="Percent 2" xfId="5" xr:uid="{00000000-0005-0000-0000-000009000000}"/>
    <cellStyle name="Percent 3" xfId="8" xr:uid="{00000000-0005-0000-0000-00000A000000}"/>
  </cellStyles>
  <dxfs count="0"/>
  <tableStyles count="0" defaultTableStyle="TableStyleMedium9" defaultPivotStyle="PivotStyleLight16"/>
  <colors>
    <mruColors>
      <color rgb="FF6666FF"/>
      <color rgb="FF0000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Administrator/Local%20Settings/Temporary%20Internet%20Files/Content.IE5/YM0D6MFR/Andale%20Proform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Loan%20Manager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w%20Manley/Desktop/Manekin/Andale%20Green%20Proforma%202%2015%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up"/>
      <sheetName val="Proforma"/>
      <sheetName val="Brittany P"/>
      <sheetName val="Loan"/>
      <sheetName val="Cash Flow"/>
    </sheetNames>
    <sheetDataSet>
      <sheetData sheetId="0" refreshError="1">
        <row r="14">
          <cell r="I14">
            <v>231135</v>
          </cell>
        </row>
        <row r="15">
          <cell r="D15">
            <v>0.06</v>
          </cell>
          <cell r="I15">
            <v>2000</v>
          </cell>
        </row>
        <row r="16">
          <cell r="I16">
            <v>1000</v>
          </cell>
        </row>
        <row r="24">
          <cell r="D24">
            <v>11520000</v>
          </cell>
        </row>
        <row r="26">
          <cell r="D26">
            <v>3250</v>
          </cell>
        </row>
        <row r="27">
          <cell r="D27">
            <v>1500</v>
          </cell>
        </row>
        <row r="28">
          <cell r="D28">
            <v>750</v>
          </cell>
        </row>
        <row r="31">
          <cell r="D31">
            <v>300000</v>
          </cell>
        </row>
        <row r="32">
          <cell r="D32">
            <v>200000</v>
          </cell>
        </row>
        <row r="34">
          <cell r="D34">
            <v>500</v>
          </cell>
        </row>
        <row r="36">
          <cell r="D36">
            <v>200000</v>
          </cell>
        </row>
        <row r="38">
          <cell r="D38">
            <v>1900000</v>
          </cell>
        </row>
        <row r="39">
          <cell r="D39">
            <v>0</v>
          </cell>
        </row>
        <row r="40">
          <cell r="D40">
            <v>16764.650000000001</v>
          </cell>
        </row>
      </sheetData>
      <sheetData sheetId="1" refreshError="1">
        <row r="12">
          <cell r="H12">
            <v>87839.429276663039</v>
          </cell>
        </row>
        <row r="13">
          <cell r="H13">
            <v>1300</v>
          </cell>
        </row>
        <row r="29">
          <cell r="F29">
            <v>5394470.4000000004</v>
          </cell>
        </row>
        <row r="30">
          <cell r="F30">
            <v>58676.274999999994</v>
          </cell>
        </row>
        <row r="31">
          <cell r="F31">
            <v>67430.880000000005</v>
          </cell>
        </row>
        <row r="33">
          <cell r="H33">
            <v>2341.3500000000004</v>
          </cell>
        </row>
        <row r="36">
          <cell r="H36">
            <v>11706.75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omize Your Loan Manager"/>
    </sheetNames>
    <sheetDataSet>
      <sheetData sheetId="0">
        <row r="21">
          <cell r="G21">
            <v>60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ations"/>
      <sheetName val="Stabilized"/>
      <sheetName val="Scenario #2"/>
      <sheetName val="Construction"/>
      <sheetName val="Sheet1"/>
    </sheetNames>
    <sheetDataSet>
      <sheetData sheetId="0">
        <row r="11">
          <cell r="E11">
            <v>320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46"/>
  <sheetViews>
    <sheetView showGridLines="0" tabSelected="1" zoomScale="150" zoomScaleNormal="150" workbookViewId="0">
      <selection activeCell="H15" sqref="H15"/>
    </sheetView>
  </sheetViews>
  <sheetFormatPr defaultRowHeight="12.75" customHeight="1" x14ac:dyDescent="0.35"/>
  <cols>
    <col min="1" max="1" width="0.796875" customWidth="1"/>
    <col min="2" max="3" width="1.796875" customWidth="1"/>
    <col min="4" max="4" width="15.796875" customWidth="1"/>
    <col min="5" max="5" width="6.796875" customWidth="1"/>
    <col min="6" max="7" width="10.796875" customWidth="1"/>
    <col min="8" max="11" width="11.796875" customWidth="1"/>
    <col min="12" max="13" width="0.796875" customWidth="1"/>
    <col min="14" max="14" width="11.796875" customWidth="1"/>
  </cols>
  <sheetData>
    <row r="1" spans="2:14" ht="12.75" customHeight="1" x14ac:dyDescent="0.5">
      <c r="B1" s="68" t="s">
        <v>124</v>
      </c>
    </row>
    <row r="2" spans="2:14" ht="15" customHeight="1" x14ac:dyDescent="0.5">
      <c r="B2" s="68" t="s">
        <v>19</v>
      </c>
      <c r="C2" s="11"/>
      <c r="D2" s="11"/>
      <c r="E2" s="11"/>
      <c r="F2" s="37"/>
      <c r="G2" s="37"/>
      <c r="H2" s="37"/>
    </row>
    <row r="3" spans="2:14" ht="8.1999999999999993" customHeight="1" x14ac:dyDescent="0.5">
      <c r="B3" s="11"/>
      <c r="C3" s="9"/>
      <c r="D3" s="9"/>
      <c r="E3" s="9"/>
    </row>
    <row r="4" spans="2:14" s="31" customFormat="1" ht="12.75" customHeight="1" x14ac:dyDescent="0.4">
      <c r="B4" s="40"/>
      <c r="C4" s="40"/>
      <c r="D4" s="40"/>
      <c r="E4" s="40"/>
      <c r="H4" s="26"/>
      <c r="I4" s="88"/>
      <c r="J4" s="26"/>
      <c r="K4" s="26"/>
      <c r="L4" s="26"/>
      <c r="M4" s="26"/>
      <c r="N4" s="26"/>
    </row>
    <row r="5" spans="2:14" ht="12.75" customHeight="1" x14ac:dyDescent="0.4">
      <c r="B5" s="5"/>
      <c r="C5" s="5"/>
      <c r="D5" s="5"/>
      <c r="E5" s="5"/>
      <c r="H5" s="242" t="s">
        <v>1</v>
      </c>
      <c r="I5" s="242"/>
      <c r="J5" s="242"/>
      <c r="K5" s="242"/>
      <c r="L5" s="242"/>
      <c r="M5" s="242"/>
      <c r="N5" s="242"/>
    </row>
    <row r="6" spans="2:14" s="10" customFormat="1" ht="12.75" customHeight="1" x14ac:dyDescent="0.4">
      <c r="B6" s="46"/>
      <c r="C6" s="44"/>
      <c r="D6" s="44"/>
      <c r="E6" s="28"/>
      <c r="H6" s="116">
        <v>0</v>
      </c>
      <c r="I6" s="41">
        <v>1</v>
      </c>
      <c r="J6" s="41">
        <f>I6+1</f>
        <v>2</v>
      </c>
      <c r="K6" s="43">
        <f>J6+1</f>
        <v>3</v>
      </c>
      <c r="L6" s="91"/>
      <c r="M6" s="89"/>
      <c r="N6" s="90" t="s">
        <v>0</v>
      </c>
    </row>
    <row r="7" spans="2:14" s="1" customFormat="1" ht="4.05" customHeight="1" x14ac:dyDescent="0.4">
      <c r="B7" s="39"/>
      <c r="C7" s="8"/>
      <c r="D7" s="8"/>
      <c r="E7" s="8"/>
      <c r="F7" s="13"/>
      <c r="G7" s="13"/>
      <c r="H7" s="12"/>
      <c r="I7" s="12"/>
    </row>
    <row r="8" spans="2:14" s="1" customFormat="1" ht="12.75" customHeight="1" x14ac:dyDescent="0.4">
      <c r="B8" s="240" t="s">
        <v>34</v>
      </c>
      <c r="C8" s="241"/>
      <c r="D8" s="241"/>
      <c r="E8" s="241"/>
      <c r="F8" s="241"/>
      <c r="G8" s="85"/>
      <c r="H8" s="12"/>
    </row>
    <row r="9" spans="2:14" s="1" customFormat="1" ht="8.1999999999999993" customHeight="1" x14ac:dyDescent="0.4">
      <c r="B9" s="39"/>
      <c r="C9" s="8"/>
      <c r="D9" s="8"/>
      <c r="E9" s="8"/>
      <c r="F9" s="13"/>
      <c r="G9" s="13"/>
      <c r="H9" s="12"/>
    </row>
    <row r="10" spans="2:14" s="1" customFormat="1" ht="12.75" customHeight="1" x14ac:dyDescent="0.4">
      <c r="B10" s="19" t="s">
        <v>20</v>
      </c>
      <c r="C10" s="19"/>
      <c r="D10" s="19"/>
      <c r="E10" s="19"/>
      <c r="F10" s="13"/>
      <c r="G10" s="13"/>
      <c r="L10" s="2"/>
    </row>
    <row r="11" spans="2:14" s="1" customFormat="1" ht="12.75" customHeight="1" x14ac:dyDescent="0.4">
      <c r="B11" s="19"/>
      <c r="C11" s="5" t="s">
        <v>8</v>
      </c>
      <c r="D11" s="19"/>
      <c r="E11" s="19"/>
      <c r="F11" s="13"/>
      <c r="G11" s="13"/>
      <c r="H11" s="49">
        <v>-2500000</v>
      </c>
      <c r="I11" s="49">
        <v>0</v>
      </c>
      <c r="J11" s="49">
        <v>0</v>
      </c>
      <c r="K11" s="49">
        <v>0</v>
      </c>
      <c r="L11" s="2"/>
      <c r="N11" s="49">
        <f>SUM(H11:K11)</f>
        <v>-2500000</v>
      </c>
    </row>
    <row r="12" spans="2:14" s="1" customFormat="1" ht="12.75" customHeight="1" x14ac:dyDescent="0.4">
      <c r="B12" s="19"/>
      <c r="C12" s="5" t="s">
        <v>21</v>
      </c>
      <c r="D12" s="19"/>
      <c r="E12" s="19"/>
      <c r="F12" s="13"/>
      <c r="G12" s="13"/>
      <c r="H12" s="50">
        <v>-30000</v>
      </c>
      <c r="I12" s="50">
        <v>0</v>
      </c>
      <c r="J12" s="50">
        <v>0</v>
      </c>
      <c r="K12" s="50">
        <v>0</v>
      </c>
      <c r="L12" s="2"/>
      <c r="N12" s="50">
        <f t="shared" ref="N12:N14" si="0">SUM(H12:K12)</f>
        <v>-30000</v>
      </c>
    </row>
    <row r="13" spans="2:14" s="1" customFormat="1" ht="12.75" customHeight="1" x14ac:dyDescent="0.4">
      <c r="B13" s="73"/>
      <c r="C13" s="3" t="s">
        <v>23</v>
      </c>
      <c r="D13" s="73"/>
      <c r="E13" s="73"/>
      <c r="F13" s="74"/>
      <c r="G13" s="74"/>
      <c r="H13" s="75">
        <f>-(50000+50000)</f>
        <v>-100000</v>
      </c>
      <c r="I13" s="75">
        <v>0</v>
      </c>
      <c r="J13" s="75">
        <v>0</v>
      </c>
      <c r="K13" s="75">
        <v>0</v>
      </c>
      <c r="L13" s="2"/>
      <c r="N13" s="75">
        <f t="shared" si="0"/>
        <v>-100000</v>
      </c>
    </row>
    <row r="14" spans="2:14" s="1" customFormat="1" ht="12.75" customHeight="1" x14ac:dyDescent="0.4">
      <c r="B14" s="73"/>
      <c r="C14" s="3" t="s">
        <v>24</v>
      </c>
      <c r="D14" s="73"/>
      <c r="E14" s="73"/>
      <c r="F14" s="74"/>
      <c r="G14" s="74"/>
      <c r="H14" s="76">
        <v>-20000</v>
      </c>
      <c r="I14" s="76">
        <v>0</v>
      </c>
      <c r="J14" s="76">
        <v>0</v>
      </c>
      <c r="K14" s="76">
        <v>0</v>
      </c>
      <c r="L14" s="2"/>
      <c r="N14" s="76">
        <f t="shared" si="0"/>
        <v>-20000</v>
      </c>
    </row>
    <row r="15" spans="2:14" s="1" customFormat="1" ht="12.75" customHeight="1" x14ac:dyDescent="0.4">
      <c r="B15" s="73" t="s">
        <v>22</v>
      </c>
      <c r="C15" s="73"/>
      <c r="D15" s="73"/>
      <c r="E15" s="73"/>
      <c r="F15" s="74"/>
      <c r="G15" s="74"/>
      <c r="H15" s="77">
        <f>SUM(H11:H14)</f>
        <v>-2650000</v>
      </c>
      <c r="I15" s="77">
        <f t="shared" ref="I15:K15" si="1">SUM(I11:I14)</f>
        <v>0</v>
      </c>
      <c r="J15" s="77">
        <f t="shared" si="1"/>
        <v>0</v>
      </c>
      <c r="K15" s="77">
        <f t="shared" si="1"/>
        <v>0</v>
      </c>
      <c r="L15" s="2"/>
      <c r="N15" s="77">
        <f>SUM(N11:N14)</f>
        <v>-2650000</v>
      </c>
    </row>
    <row r="16" spans="2:14" s="1" customFormat="1" ht="8.1999999999999993" customHeight="1" x14ac:dyDescent="0.4">
      <c r="B16" s="73"/>
      <c r="C16" s="73"/>
      <c r="D16" s="73"/>
      <c r="E16" s="73"/>
      <c r="F16" s="74"/>
      <c r="G16" s="74"/>
      <c r="H16" s="78"/>
      <c r="L16" s="2"/>
      <c r="N16" s="78"/>
    </row>
    <row r="17" spans="2:14" s="1" customFormat="1" ht="12.75" customHeight="1" x14ac:dyDescent="0.4">
      <c r="B17" s="73" t="s">
        <v>25</v>
      </c>
      <c r="C17" s="73"/>
      <c r="D17" s="73"/>
      <c r="E17" s="73"/>
      <c r="F17" s="74"/>
      <c r="G17" s="74"/>
      <c r="H17" s="78"/>
      <c r="L17" s="2"/>
      <c r="N17" s="78"/>
    </row>
    <row r="18" spans="2:14" s="1" customFormat="1" ht="12.75" customHeight="1" x14ac:dyDescent="0.4">
      <c r="B18" s="73"/>
      <c r="C18" s="3" t="s">
        <v>26</v>
      </c>
      <c r="D18" s="73"/>
      <c r="E18" s="73"/>
      <c r="F18" s="74"/>
      <c r="G18" s="74"/>
      <c r="H18" s="79">
        <v>0</v>
      </c>
      <c r="I18" s="79">
        <v>-250000</v>
      </c>
      <c r="J18" s="79">
        <v>0</v>
      </c>
      <c r="K18" s="79">
        <v>0</v>
      </c>
      <c r="L18" s="2"/>
      <c r="N18" s="49">
        <f>SUM(H18:K18)</f>
        <v>-250000</v>
      </c>
    </row>
    <row r="19" spans="2:14" s="1" customFormat="1" ht="12.75" customHeight="1" x14ac:dyDescent="0.4">
      <c r="B19" s="73"/>
      <c r="C19" s="3" t="s">
        <v>27</v>
      </c>
      <c r="D19" s="73"/>
      <c r="E19" s="73"/>
      <c r="F19" s="74"/>
      <c r="G19" s="74"/>
      <c r="H19" s="75">
        <v>0</v>
      </c>
      <c r="I19" s="75">
        <v>0</v>
      </c>
      <c r="J19" s="75">
        <v>0</v>
      </c>
      <c r="K19" s="75">
        <v>0</v>
      </c>
      <c r="L19" s="2"/>
      <c r="N19" s="75">
        <f t="shared" ref="N19:N20" si="2">SUM(H19:K19)</f>
        <v>0</v>
      </c>
    </row>
    <row r="20" spans="2:14" s="1" customFormat="1" ht="12.75" customHeight="1" x14ac:dyDescent="0.4">
      <c r="B20" s="73"/>
      <c r="C20" s="3" t="s">
        <v>28</v>
      </c>
      <c r="D20" s="73"/>
      <c r="E20" s="73"/>
      <c r="F20" s="74"/>
      <c r="G20" s="74"/>
      <c r="H20" s="76">
        <v>0</v>
      </c>
      <c r="I20" s="76">
        <v>0</v>
      </c>
      <c r="J20" s="76">
        <v>0</v>
      </c>
      <c r="K20" s="76">
        <v>0</v>
      </c>
      <c r="L20" s="2"/>
      <c r="N20" s="76">
        <f t="shared" si="2"/>
        <v>0</v>
      </c>
    </row>
    <row r="21" spans="2:14" s="1" customFormat="1" ht="12.75" customHeight="1" x14ac:dyDescent="0.4">
      <c r="B21" s="73" t="s">
        <v>29</v>
      </c>
      <c r="C21" s="73"/>
      <c r="D21" s="73"/>
      <c r="E21" s="73"/>
      <c r="F21" s="74"/>
      <c r="G21" s="74"/>
      <c r="H21" s="77">
        <f>SUM(H18:H20)</f>
        <v>0</v>
      </c>
      <c r="I21" s="77">
        <f>SUM(I18:I20)</f>
        <v>-250000</v>
      </c>
      <c r="J21" s="77">
        <f t="shared" ref="J21:K21" si="3">SUM(J18:J20)</f>
        <v>0</v>
      </c>
      <c r="K21" s="77">
        <f t="shared" si="3"/>
        <v>0</v>
      </c>
      <c r="L21" s="2"/>
      <c r="N21" s="77">
        <f>SUM(N18:N20)</f>
        <v>-250000</v>
      </c>
    </row>
    <row r="22" spans="2:14" s="1" customFormat="1" ht="8.1999999999999993" customHeight="1" x14ac:dyDescent="0.4">
      <c r="B22" s="73"/>
      <c r="C22" s="73"/>
      <c r="D22" s="73"/>
      <c r="E22" s="73"/>
      <c r="F22" s="74"/>
      <c r="G22" s="74"/>
      <c r="H22" s="77"/>
      <c r="I22" s="77"/>
      <c r="L22" s="2"/>
      <c r="N22" s="77"/>
    </row>
    <row r="23" spans="2:14" s="1" customFormat="1" ht="12.75" customHeight="1" x14ac:dyDescent="0.4">
      <c r="B23" s="73" t="s">
        <v>30</v>
      </c>
      <c r="C23" s="73"/>
      <c r="D23" s="73"/>
      <c r="E23" s="73"/>
      <c r="F23" s="74"/>
      <c r="G23" s="74"/>
      <c r="H23" s="77"/>
      <c r="I23" s="77"/>
      <c r="L23" s="2"/>
      <c r="N23" s="77"/>
    </row>
    <row r="24" spans="2:14" s="1" customFormat="1" ht="12.75" customHeight="1" x14ac:dyDescent="0.4">
      <c r="B24" s="73"/>
      <c r="C24" s="3" t="s">
        <v>69</v>
      </c>
      <c r="D24" s="73"/>
      <c r="E24" s="73"/>
      <c r="F24" s="74"/>
      <c r="G24" s="74"/>
      <c r="H24" s="79">
        <v>0</v>
      </c>
      <c r="I24" s="79">
        <v>0</v>
      </c>
      <c r="J24" s="79">
        <v>0</v>
      </c>
      <c r="K24" s="79">
        <v>0</v>
      </c>
      <c r="L24" s="2"/>
      <c r="N24" s="49">
        <f>SUM(H24:K24)</f>
        <v>0</v>
      </c>
    </row>
    <row r="25" spans="2:14" s="1" customFormat="1" ht="12.75" customHeight="1" x14ac:dyDescent="0.4">
      <c r="B25" s="73"/>
      <c r="C25" s="3" t="s">
        <v>70</v>
      </c>
      <c r="D25" s="73"/>
      <c r="E25" s="73"/>
      <c r="F25" s="74"/>
      <c r="G25" s="74"/>
      <c r="H25" s="76">
        <v>0</v>
      </c>
      <c r="I25" s="76">
        <v>0</v>
      </c>
      <c r="J25" s="76">
        <v>0</v>
      </c>
      <c r="K25" s="76">
        <v>0</v>
      </c>
      <c r="L25" s="2"/>
      <c r="N25" s="76">
        <v>0</v>
      </c>
    </row>
    <row r="26" spans="2:14" s="1" customFormat="1" ht="12.75" customHeight="1" x14ac:dyDescent="0.4">
      <c r="B26" s="73" t="s">
        <v>31</v>
      </c>
      <c r="C26" s="73"/>
      <c r="D26" s="73"/>
      <c r="E26" s="73"/>
      <c r="F26" s="74"/>
      <c r="G26" s="74"/>
      <c r="H26" s="77">
        <f>SUM(H24:H25)</f>
        <v>0</v>
      </c>
      <c r="I26" s="77">
        <f>SUM(I24:I25)</f>
        <v>0</v>
      </c>
      <c r="J26" s="77">
        <f t="shared" ref="J26:K26" si="4">SUM(J24:J25)</f>
        <v>0</v>
      </c>
      <c r="K26" s="77">
        <f t="shared" si="4"/>
        <v>0</v>
      </c>
      <c r="L26" s="2"/>
      <c r="N26" s="77">
        <f>SUM(N24:N25)</f>
        <v>0</v>
      </c>
    </row>
    <row r="27" spans="2:14" s="1" customFormat="1" ht="8.1999999999999993" customHeight="1" x14ac:dyDescent="0.4">
      <c r="B27" s="73"/>
      <c r="C27" s="73"/>
      <c r="D27" s="73"/>
      <c r="E27" s="73"/>
      <c r="F27" s="74"/>
      <c r="G27" s="74"/>
      <c r="H27" s="77"/>
      <c r="I27" s="77"/>
      <c r="L27" s="2"/>
      <c r="N27" s="77"/>
    </row>
    <row r="28" spans="2:14" s="1" customFormat="1" ht="12.75" customHeight="1" x14ac:dyDescent="0.4">
      <c r="B28" s="73" t="s">
        <v>32</v>
      </c>
      <c r="C28" s="73"/>
      <c r="D28" s="73"/>
      <c r="E28" s="130">
        <v>0</v>
      </c>
      <c r="F28" s="74"/>
      <c r="G28" s="74"/>
      <c r="H28" s="165">
        <v>0</v>
      </c>
      <c r="I28" s="165">
        <f>(I21+I26)*E28</f>
        <v>0</v>
      </c>
      <c r="J28" s="165">
        <v>0</v>
      </c>
      <c r="K28" s="165">
        <v>0</v>
      </c>
      <c r="L28" s="2"/>
      <c r="N28" s="61">
        <f t="shared" ref="N28" si="5">SUM(H28:K28)</f>
        <v>0</v>
      </c>
    </row>
    <row r="29" spans="2:14" s="1" customFormat="1" ht="8.1999999999999993" customHeight="1" x14ac:dyDescent="0.4">
      <c r="B29" s="19"/>
      <c r="C29" s="19"/>
      <c r="D29" s="19"/>
      <c r="E29" s="19"/>
      <c r="F29" s="13"/>
      <c r="G29" s="13"/>
      <c r="H29" s="66"/>
      <c r="L29" s="2"/>
      <c r="N29" s="66"/>
    </row>
    <row r="30" spans="2:14" s="1" customFormat="1" ht="12.75" customHeight="1" x14ac:dyDescent="0.4">
      <c r="B30" s="69" t="s">
        <v>33</v>
      </c>
      <c r="C30" s="69"/>
      <c r="D30" s="69"/>
      <c r="E30" s="69"/>
      <c r="F30" s="71"/>
      <c r="G30" s="71"/>
      <c r="H30" s="72">
        <f>H15+H21+H26+H28</f>
        <v>-2650000</v>
      </c>
      <c r="I30" s="72">
        <f>I15+I21+I26+I28</f>
        <v>-250000</v>
      </c>
      <c r="J30" s="72">
        <f t="shared" ref="J30:K30" si="6">J15+J21+J26+J28</f>
        <v>0</v>
      </c>
      <c r="K30" s="72">
        <f t="shared" si="6"/>
        <v>0</v>
      </c>
      <c r="L30" s="2"/>
      <c r="N30" s="72">
        <f>N15+N21+N26+N28</f>
        <v>-2900000</v>
      </c>
    </row>
    <row r="31" spans="2:14" s="1" customFormat="1" ht="8.1999999999999993" customHeight="1" thickBot="1" x14ac:dyDescent="0.45">
      <c r="B31" s="83"/>
      <c r="C31" s="83"/>
      <c r="D31" s="83"/>
      <c r="E31" s="83"/>
      <c r="F31" s="57"/>
      <c r="G31" s="57"/>
      <c r="H31" s="84"/>
      <c r="I31" s="84"/>
      <c r="J31" s="84"/>
      <c r="K31" s="84"/>
      <c r="L31" s="84"/>
      <c r="M31" s="84"/>
      <c r="N31" s="84"/>
    </row>
    <row r="32" spans="2:14" s="1" customFormat="1" ht="8.1999999999999993" customHeight="1" x14ac:dyDescent="0.4">
      <c r="B32" s="19"/>
      <c r="C32" s="19"/>
      <c r="D32" s="19"/>
      <c r="E32" s="19"/>
      <c r="F32" s="13"/>
      <c r="G32" s="13"/>
      <c r="H32" s="66"/>
      <c r="N32" s="66"/>
    </row>
    <row r="33" spans="2:15" s="1" customFormat="1" ht="12.75" customHeight="1" x14ac:dyDescent="0.4">
      <c r="B33" s="238" t="s">
        <v>35</v>
      </c>
      <c r="C33" s="239"/>
      <c r="D33" s="239"/>
      <c r="E33" s="239"/>
      <c r="F33" s="239"/>
      <c r="G33" s="85"/>
      <c r="H33" s="66"/>
      <c r="N33" s="66"/>
    </row>
    <row r="34" spans="2:15" s="1" customFormat="1" ht="8.1999999999999993" customHeight="1" x14ac:dyDescent="0.4">
      <c r="B34" s="19"/>
      <c r="C34" s="19"/>
      <c r="D34" s="19"/>
      <c r="E34" s="19"/>
      <c r="F34" s="13"/>
      <c r="G34" s="13"/>
      <c r="H34" s="66"/>
      <c r="N34" s="66"/>
    </row>
    <row r="35" spans="2:15" s="1" customFormat="1" ht="12.75" customHeight="1" x14ac:dyDescent="0.4">
      <c r="B35" s="19" t="s">
        <v>9</v>
      </c>
      <c r="C35" s="5"/>
      <c r="D35" s="5"/>
      <c r="E35" s="5"/>
      <c r="F35" s="13"/>
      <c r="G35" s="13"/>
      <c r="H35" s="237" t="s">
        <v>38</v>
      </c>
      <c r="I35" s="237"/>
      <c r="J35" s="237"/>
      <c r="K35" s="237"/>
      <c r="L35" s="2"/>
      <c r="N35" s="93" t="s">
        <v>0</v>
      </c>
    </row>
    <row r="36" spans="2:15" s="1" customFormat="1" ht="12.75" customHeight="1" x14ac:dyDescent="0.4">
      <c r="B36"/>
      <c r="C36" s="5" t="s">
        <v>37</v>
      </c>
      <c r="D36" s="5"/>
      <c r="E36" s="130">
        <v>0</v>
      </c>
      <c r="F36" s="13"/>
      <c r="G36" s="13"/>
      <c r="H36" s="22"/>
      <c r="I36" s="22"/>
      <c r="J36" s="22"/>
      <c r="K36" s="22"/>
      <c r="L36" s="2"/>
      <c r="N36" s="22">
        <f>N30*-E36</f>
        <v>0</v>
      </c>
    </row>
    <row r="37" spans="2:15" s="1" customFormat="1" ht="12.75" customHeight="1" x14ac:dyDescent="0.4">
      <c r="B37"/>
      <c r="C37" s="5" t="s">
        <v>4</v>
      </c>
      <c r="D37" s="5"/>
      <c r="E37" s="5"/>
      <c r="F37" s="13"/>
      <c r="G37" s="13"/>
      <c r="H37" s="80"/>
      <c r="I37" s="80"/>
      <c r="J37" s="80"/>
      <c r="K37" s="80"/>
      <c r="L37" s="2"/>
      <c r="N37" s="80">
        <f>-N30-N36</f>
        <v>2900000</v>
      </c>
    </row>
    <row r="38" spans="2:15" s="1" customFormat="1" ht="8.1999999999999993" customHeight="1" x14ac:dyDescent="0.4">
      <c r="B38"/>
      <c r="C38" s="5"/>
      <c r="D38" s="5"/>
      <c r="E38" s="5"/>
      <c r="F38" s="13"/>
      <c r="G38" s="13"/>
      <c r="H38" s="81"/>
      <c r="L38" s="2"/>
      <c r="N38" s="81"/>
    </row>
    <row r="39" spans="2:15" s="1" customFormat="1" ht="12.75" customHeight="1" x14ac:dyDescent="0.4">
      <c r="B39" s="69" t="s">
        <v>36</v>
      </c>
      <c r="C39" s="70"/>
      <c r="D39" s="70"/>
      <c r="E39" s="70"/>
      <c r="F39" s="71"/>
      <c r="G39" s="71"/>
      <c r="H39" s="82"/>
      <c r="I39" s="82"/>
      <c r="J39" s="82"/>
      <c r="K39" s="82"/>
      <c r="L39" s="2"/>
      <c r="N39" s="82">
        <f>N36+N37</f>
        <v>2900000</v>
      </c>
    </row>
    <row r="40" spans="2:15" s="1" customFormat="1" ht="12.75" customHeight="1" x14ac:dyDescent="0.4">
      <c r="B40"/>
      <c r="C40" s="5"/>
      <c r="D40" s="5"/>
      <c r="E40" s="5"/>
      <c r="F40" s="13"/>
      <c r="G40" s="13"/>
      <c r="H40" s="81"/>
      <c r="N40" s="81"/>
    </row>
    <row r="41" spans="2:15" ht="12.75" customHeight="1" x14ac:dyDescent="0.35">
      <c r="B41" s="243" t="s">
        <v>122</v>
      </c>
      <c r="C41" s="243"/>
      <c r="D41" s="243"/>
      <c r="E41" s="243"/>
      <c r="F41" s="243"/>
      <c r="G41" s="243"/>
      <c r="H41" s="243"/>
      <c r="I41" s="243"/>
      <c r="J41" s="243"/>
      <c r="K41" s="243"/>
      <c r="L41" s="243"/>
      <c r="M41" s="243"/>
      <c r="N41" s="243"/>
      <c r="O41" s="243"/>
    </row>
    <row r="42" spans="2:15" ht="12.75" customHeight="1" x14ac:dyDescent="0.4">
      <c r="B42" s="19"/>
      <c r="J42" s="129"/>
    </row>
    <row r="43" spans="2:15" ht="12.75" customHeight="1" x14ac:dyDescent="0.4">
      <c r="C43" s="5"/>
      <c r="F43" s="130"/>
      <c r="G43" s="130"/>
    </row>
    <row r="44" spans="2:15" ht="12.75" customHeight="1" x14ac:dyDescent="0.4">
      <c r="C44" s="5"/>
      <c r="F44" s="16"/>
      <c r="G44" s="175"/>
    </row>
    <row r="45" spans="2:15" ht="12.75" customHeight="1" x14ac:dyDescent="0.4">
      <c r="C45" s="5"/>
      <c r="G45" s="117"/>
    </row>
    <row r="46" spans="2:15" ht="12.75" customHeight="1" x14ac:dyDescent="0.35">
      <c r="G46" s="176"/>
    </row>
  </sheetData>
  <mergeCells count="5">
    <mergeCell ref="H35:K35"/>
    <mergeCell ref="B33:F33"/>
    <mergeCell ref="B8:F8"/>
    <mergeCell ref="H5:N5"/>
    <mergeCell ref="B41:O41"/>
  </mergeCells>
  <printOptions horizontalCentered="1"/>
  <pageMargins left="0.5" right="0.5" top="0.75" bottom="0.75" header="0.5" footer="0.5"/>
  <pageSetup scale="6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A18"/>
  <sheetViews>
    <sheetView showGridLines="0" zoomScale="140" zoomScaleNormal="140" workbookViewId="0">
      <selection activeCell="AA17" sqref="AA17"/>
    </sheetView>
  </sheetViews>
  <sheetFormatPr defaultRowHeight="12.75" customHeight="1" x14ac:dyDescent="0.35"/>
  <cols>
    <col min="1" max="1" width="0.796875" customWidth="1"/>
    <col min="2" max="2" width="1.796875" customWidth="1"/>
    <col min="3" max="3" width="20.796875" customWidth="1"/>
    <col min="4" max="5" width="10.796875" customWidth="1"/>
    <col min="6" max="6" width="12.796875" customWidth="1"/>
    <col min="7" max="18" width="11.796875" customWidth="1"/>
    <col min="20" max="21" width="10.19921875" bestFit="1" customWidth="1"/>
    <col min="22" max="22" width="11.1328125" bestFit="1" customWidth="1"/>
    <col min="23" max="23" width="12.06640625" bestFit="1" customWidth="1"/>
    <col min="24" max="24" width="13.53125" bestFit="1" customWidth="1"/>
    <col min="25" max="25" width="14.46484375" bestFit="1" customWidth="1"/>
    <col min="26" max="26" width="15.3984375" bestFit="1" customWidth="1"/>
    <col min="27" max="27" width="16.86328125" bestFit="1" customWidth="1"/>
  </cols>
  <sheetData>
    <row r="1" spans="2:27" ht="12.75" customHeight="1" x14ac:dyDescent="0.5">
      <c r="B1" s="99" t="str">
        <f>'Project Costs &amp; Capital (UL)'!B1</f>
        <v xml:space="preserve">Vet Village- Affordable Housing </v>
      </c>
    </row>
    <row r="2" spans="2:27" ht="15" customHeight="1" x14ac:dyDescent="0.5">
      <c r="B2" s="68" t="s">
        <v>41</v>
      </c>
      <c r="C2" s="11"/>
      <c r="D2" s="11"/>
      <c r="E2" s="11"/>
      <c r="F2" s="11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2:27" ht="8.1999999999999993" customHeight="1" x14ac:dyDescent="0.5">
      <c r="B3" s="11"/>
      <c r="C3" s="9"/>
      <c r="D3" s="9"/>
      <c r="E3" s="9"/>
      <c r="F3" s="9"/>
    </row>
    <row r="4" spans="2:27" s="31" customFormat="1" ht="12.75" customHeight="1" x14ac:dyDescent="0.4">
      <c r="B4" s="40"/>
      <c r="C4" s="40"/>
      <c r="D4" s="40"/>
      <c r="G4" s="26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2:27" ht="12.75" customHeight="1" x14ac:dyDescent="0.4">
      <c r="B5" s="5"/>
      <c r="C5" s="5"/>
      <c r="D5" s="5"/>
      <c r="G5" s="19" t="s">
        <v>1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</row>
    <row r="6" spans="2:27" s="10" customFormat="1" ht="12.75" customHeight="1" x14ac:dyDescent="0.4">
      <c r="B6" s="46"/>
      <c r="C6" s="44"/>
      <c r="D6" s="44"/>
      <c r="G6" s="116">
        <v>0</v>
      </c>
      <c r="H6" s="41">
        <v>1</v>
      </c>
      <c r="I6" s="42">
        <f>H6+1</f>
        <v>2</v>
      </c>
      <c r="J6" s="42">
        <f t="shared" ref="J6:R6" si="0">I6+1</f>
        <v>3</v>
      </c>
      <c r="K6" s="42">
        <f t="shared" si="0"/>
        <v>4</v>
      </c>
      <c r="L6" s="42">
        <f t="shared" si="0"/>
        <v>5</v>
      </c>
      <c r="M6" s="43">
        <f t="shared" si="0"/>
        <v>6</v>
      </c>
      <c r="N6" s="43">
        <f t="shared" si="0"/>
        <v>7</v>
      </c>
      <c r="O6" s="43">
        <f t="shared" si="0"/>
        <v>8</v>
      </c>
      <c r="P6" s="43">
        <f t="shared" si="0"/>
        <v>9</v>
      </c>
      <c r="Q6" s="43">
        <f t="shared" si="0"/>
        <v>10</v>
      </c>
      <c r="R6" s="43">
        <f t="shared" si="0"/>
        <v>11</v>
      </c>
      <c r="S6" s="43">
        <f t="shared" ref="S6" si="1">R6+1</f>
        <v>12</v>
      </c>
      <c r="T6" s="43">
        <f t="shared" ref="T6" si="2">S6+1</f>
        <v>13</v>
      </c>
      <c r="U6" s="43">
        <f t="shared" ref="U6" si="3">T6+1</f>
        <v>14</v>
      </c>
      <c r="V6" s="43">
        <f t="shared" ref="V6" si="4">U6+1</f>
        <v>15</v>
      </c>
      <c r="W6" s="43">
        <f t="shared" ref="W6" si="5">V6+1</f>
        <v>16</v>
      </c>
      <c r="X6" s="43">
        <f t="shared" ref="X6" si="6">W6+1</f>
        <v>17</v>
      </c>
      <c r="Y6" s="43">
        <f t="shared" ref="Y6" si="7">X6+1</f>
        <v>18</v>
      </c>
      <c r="Z6" s="43">
        <f t="shared" ref="Z6" si="8">Y6+1</f>
        <v>19</v>
      </c>
      <c r="AA6" s="43">
        <f t="shared" ref="AA6" si="9">Z6+1</f>
        <v>20</v>
      </c>
    </row>
    <row r="7" spans="2:27" s="1" customFormat="1" ht="4.05" customHeight="1" x14ac:dyDescent="0.4">
      <c r="B7" s="39"/>
      <c r="C7" s="8"/>
      <c r="D7" s="8"/>
      <c r="E7" s="8"/>
      <c r="F7" s="8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  <row r="8" spans="2:27" s="1" customFormat="1" ht="12.75" customHeight="1" x14ac:dyDescent="0.4">
      <c r="B8" s="38" t="s">
        <v>42</v>
      </c>
      <c r="C8" s="32"/>
      <c r="D8" s="33"/>
      <c r="E8" s="8"/>
      <c r="F8" s="8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</row>
    <row r="9" spans="2:27" s="1" customFormat="1" ht="4.05" customHeight="1" x14ac:dyDescent="0.4">
      <c r="B9" s="39"/>
      <c r="C9" s="8"/>
      <c r="D9" s="8"/>
      <c r="E9" s="8"/>
      <c r="F9" s="8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spans="2:27" s="1" customFormat="1" ht="12.75" customHeight="1" x14ac:dyDescent="0.4">
      <c r="B10" s="19"/>
      <c r="C10" s="19"/>
      <c r="D10" s="19"/>
      <c r="F10" s="5"/>
      <c r="G10" s="51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</row>
    <row r="11" spans="2:27" s="1" customFormat="1" ht="4.05" customHeight="1" x14ac:dyDescent="0.4">
      <c r="B11"/>
      <c r="C11" s="5"/>
      <c r="D11" s="5"/>
      <c r="F11" s="5"/>
      <c r="G11" s="49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</row>
    <row r="12" spans="2:27" s="1" customFormat="1" ht="12.75" customHeight="1" x14ac:dyDescent="0.4">
      <c r="B12"/>
      <c r="C12" s="5"/>
      <c r="D12" s="21" t="s">
        <v>43</v>
      </c>
      <c r="E12" s="244" t="s">
        <v>46</v>
      </c>
      <c r="F12" s="244"/>
      <c r="G12" s="133" t="s">
        <v>80</v>
      </c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</row>
    <row r="13" spans="2:27" s="1" customFormat="1" ht="12.75" customHeight="1" x14ac:dyDescent="0.4">
      <c r="B13" s="19" t="s">
        <v>47</v>
      </c>
      <c r="C13" s="5"/>
      <c r="D13" s="87" t="s">
        <v>44</v>
      </c>
      <c r="E13" s="105" t="s">
        <v>45</v>
      </c>
      <c r="F13" s="86" t="s">
        <v>6</v>
      </c>
      <c r="G13" s="102">
        <v>0</v>
      </c>
      <c r="H13" s="102">
        <v>0</v>
      </c>
      <c r="I13" s="102">
        <v>0</v>
      </c>
      <c r="J13" s="102">
        <v>0</v>
      </c>
      <c r="K13" s="102">
        <v>0</v>
      </c>
      <c r="L13" s="102">
        <v>0</v>
      </c>
      <c r="M13" s="102">
        <v>0</v>
      </c>
      <c r="N13" s="102">
        <v>0.1</v>
      </c>
      <c r="O13" s="102">
        <v>0</v>
      </c>
      <c r="P13" s="102">
        <v>0</v>
      </c>
      <c r="Q13" s="102">
        <v>0</v>
      </c>
      <c r="R13" s="102">
        <v>0</v>
      </c>
      <c r="S13" s="102">
        <v>0.1</v>
      </c>
      <c r="T13" s="102">
        <v>0</v>
      </c>
      <c r="U13" s="102">
        <v>0</v>
      </c>
      <c r="V13" s="102">
        <v>0</v>
      </c>
      <c r="W13" s="102">
        <v>0</v>
      </c>
      <c r="X13" s="102">
        <v>0.1</v>
      </c>
      <c r="Y13" s="102">
        <v>0</v>
      </c>
      <c r="Z13" s="102">
        <v>0</v>
      </c>
      <c r="AA13" s="102">
        <v>0</v>
      </c>
    </row>
    <row r="14" spans="2:27" s="1" customFormat="1" ht="12.75" customHeight="1" x14ac:dyDescent="0.4">
      <c r="B14" s="19"/>
      <c r="C14" s="5" t="s">
        <v>123</v>
      </c>
      <c r="D14" s="101">
        <v>0</v>
      </c>
      <c r="E14" s="160">
        <v>0</v>
      </c>
      <c r="F14" s="15">
        <v>250000</v>
      </c>
      <c r="G14" s="49"/>
      <c r="H14" s="103"/>
      <c r="I14" s="103">
        <f>F14</f>
        <v>250000</v>
      </c>
      <c r="J14" s="103">
        <f>I14*(1+J13)</f>
        <v>250000</v>
      </c>
      <c r="K14" s="103">
        <f t="shared" ref="K14:R14" si="10">J14*(1+K13)</f>
        <v>250000</v>
      </c>
      <c r="L14" s="103">
        <f t="shared" si="10"/>
        <v>250000</v>
      </c>
      <c r="M14" s="103">
        <f t="shared" si="10"/>
        <v>250000</v>
      </c>
      <c r="N14" s="103">
        <f t="shared" si="10"/>
        <v>275000</v>
      </c>
      <c r="O14" s="103">
        <f t="shared" si="10"/>
        <v>275000</v>
      </c>
      <c r="P14" s="103">
        <f t="shared" si="10"/>
        <v>275000</v>
      </c>
      <c r="Q14" s="103">
        <f t="shared" si="10"/>
        <v>275000</v>
      </c>
      <c r="R14" s="103">
        <f t="shared" si="10"/>
        <v>275000</v>
      </c>
      <c r="S14" s="103">
        <f t="shared" ref="S14" si="11">R14*(1+S13)</f>
        <v>302500</v>
      </c>
      <c r="T14" s="103">
        <f t="shared" ref="T14" si="12">S14*(1+T13)</f>
        <v>302500</v>
      </c>
      <c r="U14" s="103">
        <f t="shared" ref="U14" si="13">T14*(1+U13)</f>
        <v>302500</v>
      </c>
      <c r="V14" s="103">
        <f t="shared" ref="V14" si="14">U14*(1+V13)</f>
        <v>302500</v>
      </c>
      <c r="W14" s="103">
        <f t="shared" ref="W14" si="15">V14*(1+W13)</f>
        <v>302500</v>
      </c>
      <c r="X14" s="103">
        <f t="shared" ref="X14" si="16">W14*(1+X13)</f>
        <v>332750</v>
      </c>
      <c r="Y14" s="103">
        <f t="shared" ref="Y14" si="17">X14*(1+Y13)</f>
        <v>332750</v>
      </c>
      <c r="Z14" s="103">
        <f t="shared" ref="Z14" si="18">Y14*(1+Z13)</f>
        <v>332750</v>
      </c>
      <c r="AA14" s="103">
        <f t="shared" ref="AA14" si="19">Z14*(1+AA13)</f>
        <v>332750</v>
      </c>
    </row>
    <row r="15" spans="2:27" s="1" customFormat="1" ht="12.75" customHeight="1" x14ac:dyDescent="0.4">
      <c r="B15"/>
      <c r="C15" s="5" t="s">
        <v>87</v>
      </c>
      <c r="D15" s="161">
        <v>0</v>
      </c>
      <c r="E15" s="166">
        <v>0</v>
      </c>
      <c r="F15" s="80">
        <f>D15*E15</f>
        <v>0</v>
      </c>
      <c r="G15" s="162"/>
      <c r="H15" s="163"/>
      <c r="I15" s="164">
        <f>F15</f>
        <v>0</v>
      </c>
      <c r="J15" s="164">
        <f>I15*(1+J13)</f>
        <v>0</v>
      </c>
      <c r="K15" s="164">
        <f t="shared" ref="K15:R15" si="20">J15*(1+K13)</f>
        <v>0</v>
      </c>
      <c r="L15" s="164">
        <f t="shared" si="20"/>
        <v>0</v>
      </c>
      <c r="M15" s="164">
        <f t="shared" si="20"/>
        <v>0</v>
      </c>
      <c r="N15" s="164">
        <f t="shared" si="20"/>
        <v>0</v>
      </c>
      <c r="O15" s="164">
        <f t="shared" si="20"/>
        <v>0</v>
      </c>
      <c r="P15" s="164">
        <f t="shared" si="20"/>
        <v>0</v>
      </c>
      <c r="Q15" s="164">
        <f t="shared" si="20"/>
        <v>0</v>
      </c>
      <c r="R15" s="164">
        <f t="shared" si="20"/>
        <v>0</v>
      </c>
      <c r="S15" s="164">
        <f t="shared" ref="S15" si="21">R15*(1+S13)</f>
        <v>0</v>
      </c>
      <c r="T15" s="164">
        <f t="shared" ref="T15" si="22">S15*(1+T13)</f>
        <v>0</v>
      </c>
      <c r="U15" s="164">
        <f t="shared" ref="U15" si="23">T15*(1+U13)</f>
        <v>0</v>
      </c>
      <c r="V15" s="164">
        <f t="shared" ref="V15" si="24">U15*(1+V13)</f>
        <v>0</v>
      </c>
      <c r="W15" s="164">
        <f t="shared" ref="W15" si="25">V15*(1+W13)</f>
        <v>0</v>
      </c>
      <c r="X15" s="164">
        <f t="shared" ref="X15" si="26">W15*(1+X13)</f>
        <v>0</v>
      </c>
      <c r="Y15" s="164">
        <f t="shared" ref="Y15" si="27">X15*(1+Y13)</f>
        <v>0</v>
      </c>
      <c r="Z15" s="164">
        <f t="shared" ref="Z15" si="28">Y15*(1+Z13)</f>
        <v>0</v>
      </c>
      <c r="AA15" s="164">
        <f t="shared" ref="AA15" si="29">Z15*(1+AA13)</f>
        <v>0</v>
      </c>
    </row>
    <row r="16" spans="2:27" s="1" customFormat="1" ht="8.1999999999999993" customHeight="1" x14ac:dyDescent="0.4">
      <c r="B16" s="39"/>
      <c r="C16" s="8"/>
      <c r="D16" s="8"/>
      <c r="E16" s="8"/>
      <c r="F16" s="8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spans="2:27" s="10" customFormat="1" ht="12.75" customHeight="1" x14ac:dyDescent="0.4">
      <c r="B17" s="120" t="s">
        <v>5</v>
      </c>
      <c r="C17" s="121"/>
      <c r="D17" s="121"/>
      <c r="E17" s="122"/>
      <c r="F17" s="123"/>
      <c r="G17" s="124">
        <f>G14+G15</f>
        <v>0</v>
      </c>
      <c r="H17" s="125">
        <f>H14+H15</f>
        <v>0</v>
      </c>
      <c r="I17" s="125">
        <f t="shared" ref="I17:R17" si="30">I14+I15</f>
        <v>250000</v>
      </c>
      <c r="J17" s="125">
        <f t="shared" si="30"/>
        <v>250000</v>
      </c>
      <c r="K17" s="125">
        <f t="shared" si="30"/>
        <v>250000</v>
      </c>
      <c r="L17" s="125">
        <f t="shared" si="30"/>
        <v>250000</v>
      </c>
      <c r="M17" s="125">
        <f t="shared" si="30"/>
        <v>250000</v>
      </c>
      <c r="N17" s="125">
        <f t="shared" si="30"/>
        <v>275000</v>
      </c>
      <c r="O17" s="125">
        <f t="shared" si="30"/>
        <v>275000</v>
      </c>
      <c r="P17" s="125">
        <f t="shared" si="30"/>
        <v>275000</v>
      </c>
      <c r="Q17" s="125">
        <f t="shared" si="30"/>
        <v>275000</v>
      </c>
      <c r="R17" s="125">
        <f t="shared" si="30"/>
        <v>275000</v>
      </c>
      <c r="S17" s="125">
        <f t="shared" ref="S17:X17" si="31">S14+S15</f>
        <v>302500</v>
      </c>
      <c r="T17" s="125">
        <f t="shared" si="31"/>
        <v>302500</v>
      </c>
      <c r="U17" s="125">
        <f t="shared" si="31"/>
        <v>302500</v>
      </c>
      <c r="V17" s="125">
        <f t="shared" si="31"/>
        <v>302500</v>
      </c>
      <c r="W17" s="125">
        <f t="shared" si="31"/>
        <v>302500</v>
      </c>
      <c r="X17" s="125">
        <f t="shared" si="31"/>
        <v>332750</v>
      </c>
      <c r="Y17" s="125">
        <f t="shared" ref="Y17:AA17" si="32">Y14+Y15</f>
        <v>332750</v>
      </c>
      <c r="Z17" s="125">
        <f t="shared" si="32"/>
        <v>332750</v>
      </c>
      <c r="AA17" s="125">
        <f t="shared" si="32"/>
        <v>332750</v>
      </c>
    </row>
    <row r="18" spans="2:27" ht="12.75" customHeight="1" thickBot="1" x14ac:dyDescent="0.4"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</row>
  </sheetData>
  <mergeCells count="1">
    <mergeCell ref="E12:F12"/>
  </mergeCells>
  <printOptions horizontalCentered="1"/>
  <pageMargins left="0.5" right="0.5" top="0.75" bottom="0.75" header="0.5" footer="0.5"/>
  <pageSetup scale="6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A14"/>
  <sheetViews>
    <sheetView showGridLines="0" zoomScale="170" zoomScaleNormal="170" workbookViewId="0">
      <selection activeCell="A10" sqref="A10"/>
    </sheetView>
  </sheetViews>
  <sheetFormatPr defaultRowHeight="12.75" customHeight="1" x14ac:dyDescent="0.35"/>
  <cols>
    <col min="1" max="1" width="0.796875" customWidth="1"/>
    <col min="2" max="2" width="1.796875" customWidth="1"/>
    <col min="3" max="3" width="32.796875" customWidth="1"/>
    <col min="4" max="4" width="9.796875" customWidth="1"/>
    <col min="5" max="5" width="7.796875" customWidth="1"/>
    <col min="6" max="17" width="11.796875" customWidth="1"/>
    <col min="21" max="22" width="9.33203125" bestFit="1" customWidth="1"/>
    <col min="23" max="23" width="10.73046875" bestFit="1" customWidth="1"/>
    <col min="24" max="24" width="11.6640625" bestFit="1" customWidth="1"/>
    <col min="25" max="25" width="12.59765625" bestFit="1" customWidth="1"/>
    <col min="26" max="26" width="14.06640625" bestFit="1" customWidth="1"/>
  </cols>
  <sheetData>
    <row r="1" spans="2:27" ht="12.75" customHeight="1" x14ac:dyDescent="0.5">
      <c r="B1" s="11" t="str">
        <f>'Project Costs &amp; Capital (UL)'!B1</f>
        <v xml:space="preserve">Vet Village- Affordable Housing </v>
      </c>
    </row>
    <row r="2" spans="2:27" ht="15" customHeight="1" x14ac:dyDescent="0.5">
      <c r="B2" s="68" t="s">
        <v>62</v>
      </c>
      <c r="C2" s="11"/>
      <c r="D2" s="11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2:27" ht="8.1999999999999993" customHeight="1" x14ac:dyDescent="0.5">
      <c r="B3" s="11"/>
      <c r="C3" s="9"/>
      <c r="D3" s="9"/>
    </row>
    <row r="4" spans="2:27" s="31" customFormat="1" ht="12.75" customHeight="1" x14ac:dyDescent="0.4">
      <c r="B4" s="40"/>
      <c r="C4" s="40"/>
      <c r="D4" s="40"/>
      <c r="F4" s="26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2:27" ht="12.75" customHeight="1" x14ac:dyDescent="0.4">
      <c r="B5" s="5"/>
      <c r="C5" s="5"/>
      <c r="D5" s="5"/>
      <c r="F5" s="19" t="s">
        <v>1</v>
      </c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</row>
    <row r="6" spans="2:27" s="10" customFormat="1" ht="12.75" customHeight="1" x14ac:dyDescent="0.4">
      <c r="B6" s="46"/>
      <c r="C6" s="44"/>
      <c r="D6" s="28"/>
      <c r="F6" s="116">
        <v>0</v>
      </c>
      <c r="G6" s="41">
        <v>1</v>
      </c>
      <c r="H6" s="42">
        <f>G6+1</f>
        <v>2</v>
      </c>
      <c r="I6" s="42">
        <f t="shared" ref="I6:Q6" si="0">H6+1</f>
        <v>3</v>
      </c>
      <c r="J6" s="42">
        <f t="shared" si="0"/>
        <v>4</v>
      </c>
      <c r="K6" s="42">
        <f t="shared" si="0"/>
        <v>5</v>
      </c>
      <c r="L6" s="43">
        <f t="shared" si="0"/>
        <v>6</v>
      </c>
      <c r="M6" s="43">
        <f t="shared" si="0"/>
        <v>7</v>
      </c>
      <c r="N6" s="43">
        <f t="shared" si="0"/>
        <v>8</v>
      </c>
      <c r="O6" s="43">
        <f t="shared" si="0"/>
        <v>9</v>
      </c>
      <c r="P6" s="43">
        <f t="shared" si="0"/>
        <v>10</v>
      </c>
      <c r="Q6" s="43">
        <f t="shared" si="0"/>
        <v>11</v>
      </c>
      <c r="R6" s="43">
        <f t="shared" ref="R6" si="1">Q6+1</f>
        <v>12</v>
      </c>
      <c r="S6" s="43">
        <f t="shared" ref="S6" si="2">R6+1</f>
        <v>13</v>
      </c>
      <c r="T6" s="43">
        <f t="shared" ref="T6" si="3">S6+1</f>
        <v>14</v>
      </c>
      <c r="U6" s="43">
        <f t="shared" ref="U6" si="4">T6+1</f>
        <v>15</v>
      </c>
      <c r="V6" s="43">
        <f t="shared" ref="V6" si="5">U6+1</f>
        <v>16</v>
      </c>
      <c r="W6" s="43">
        <f t="shared" ref="W6" si="6">V6+1</f>
        <v>17</v>
      </c>
      <c r="X6" s="43">
        <f t="shared" ref="X6" si="7">W6+1</f>
        <v>18</v>
      </c>
      <c r="Y6" s="43">
        <f t="shared" ref="Y6" si="8">X6+1</f>
        <v>19</v>
      </c>
      <c r="Z6" s="43">
        <f t="shared" ref="Z6" si="9">Y6+1</f>
        <v>20</v>
      </c>
      <c r="AA6" s="43"/>
    </row>
    <row r="7" spans="2:27" s="1" customFormat="1" ht="8.1999999999999993" customHeight="1" x14ac:dyDescent="0.4">
      <c r="B7" s="39"/>
      <c r="C7" s="8"/>
      <c r="D7" s="8"/>
      <c r="E7" s="13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  <row r="8" spans="2:27" s="1" customFormat="1" ht="12.75" customHeight="1" x14ac:dyDescent="0.4">
      <c r="B8" s="38" t="s">
        <v>54</v>
      </c>
      <c r="C8" s="32"/>
      <c r="D8" s="8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</row>
    <row r="10" spans="2:27" ht="12.75" customHeight="1" x14ac:dyDescent="0.4">
      <c r="B10" s="5" t="s">
        <v>60</v>
      </c>
      <c r="C10" s="5"/>
      <c r="F10" s="109">
        <v>0</v>
      </c>
      <c r="G10" s="110">
        <v>0</v>
      </c>
      <c r="H10" s="110">
        <v>0.03</v>
      </c>
      <c r="I10" s="110">
        <v>0.03</v>
      </c>
      <c r="J10" s="110">
        <v>0.03</v>
      </c>
      <c r="K10" s="110">
        <v>0.03</v>
      </c>
      <c r="L10" s="110">
        <v>0.03</v>
      </c>
      <c r="M10" s="110">
        <v>0.03</v>
      </c>
      <c r="N10" s="110">
        <v>0.03</v>
      </c>
      <c r="O10" s="110">
        <v>0.03</v>
      </c>
      <c r="P10" s="110">
        <v>0.03</v>
      </c>
      <c r="Q10" s="110">
        <v>0.03</v>
      </c>
      <c r="R10" s="110">
        <v>0.03</v>
      </c>
      <c r="S10" s="110">
        <v>0.03</v>
      </c>
      <c r="T10" s="110">
        <v>0.03</v>
      </c>
      <c r="U10" s="110">
        <v>0.03</v>
      </c>
      <c r="V10" s="110">
        <v>0.03</v>
      </c>
      <c r="W10" s="110">
        <v>0.03</v>
      </c>
      <c r="X10" s="110">
        <v>0.03</v>
      </c>
      <c r="Y10" s="110">
        <v>0.03</v>
      </c>
      <c r="Z10" s="110">
        <v>0.03</v>
      </c>
      <c r="AA10" s="110"/>
    </row>
    <row r="11" spans="2:27" ht="12.75" customHeight="1" x14ac:dyDescent="0.4">
      <c r="B11" s="5" t="s">
        <v>61</v>
      </c>
      <c r="F11" s="45"/>
    </row>
    <row r="12" spans="2:27" ht="12.75" customHeight="1" x14ac:dyDescent="0.4">
      <c r="C12" s="5" t="s">
        <v>58</v>
      </c>
      <c r="D12" s="51">
        <v>-5000</v>
      </c>
      <c r="E12" s="5"/>
      <c r="F12" s="131">
        <v>0</v>
      </c>
      <c r="G12" s="132">
        <v>0</v>
      </c>
      <c r="H12" s="132">
        <f>D12</f>
        <v>-5000</v>
      </c>
      <c r="I12" s="132">
        <f>H12*(1+H10)</f>
        <v>-5150</v>
      </c>
      <c r="J12" s="132">
        <f t="shared" ref="J12:Q12" si="10">I12*(1+I10)</f>
        <v>-5304.5</v>
      </c>
      <c r="K12" s="132">
        <f t="shared" si="10"/>
        <v>-5463.6350000000002</v>
      </c>
      <c r="L12" s="132">
        <f t="shared" si="10"/>
        <v>-5627.5440500000004</v>
      </c>
      <c r="M12" s="132">
        <f t="shared" si="10"/>
        <v>-5796.3703715000001</v>
      </c>
      <c r="N12" s="132">
        <f t="shared" si="10"/>
        <v>-5970.2614826449999</v>
      </c>
      <c r="O12" s="132">
        <f t="shared" si="10"/>
        <v>-6149.3693271243501</v>
      </c>
      <c r="P12" s="132">
        <f t="shared" si="10"/>
        <v>-6333.8504069380806</v>
      </c>
      <c r="Q12" s="132">
        <f t="shared" si="10"/>
        <v>-6523.865919146223</v>
      </c>
      <c r="R12" s="132">
        <f t="shared" ref="R12" si="11">Q12*(1+Q10)</f>
        <v>-6719.5818967206096</v>
      </c>
      <c r="S12" s="132">
        <f t="shared" ref="S12" si="12">R12*(1+R10)</f>
        <v>-6921.1693536222283</v>
      </c>
      <c r="T12" s="132">
        <f t="shared" ref="T12" si="13">S12*(1+S10)</f>
        <v>-7128.8044342308949</v>
      </c>
      <c r="U12" s="132">
        <f t="shared" ref="U12" si="14">T12*(1+T10)</f>
        <v>-7342.6685672578224</v>
      </c>
      <c r="V12" s="132">
        <f t="shared" ref="V12" si="15">U12*(1+U10)</f>
        <v>-7562.9486242755574</v>
      </c>
      <c r="W12" s="132">
        <f t="shared" ref="W12" si="16">V12*(1+V10)</f>
        <v>-7789.8370830038248</v>
      </c>
      <c r="X12" s="132">
        <f t="shared" ref="X12" si="17">W12*(1+W10)</f>
        <v>-8023.53219549394</v>
      </c>
      <c r="Y12" s="132">
        <f t="shared" ref="Y12" si="18">X12*(1+X10)</f>
        <v>-8264.2381613587586</v>
      </c>
      <c r="Z12" s="132">
        <f t="shared" ref="Z12" si="19">Y12*(1+Y10)</f>
        <v>-8512.1653061995221</v>
      </c>
      <c r="AA12" s="132"/>
    </row>
    <row r="13" spans="2:27" ht="12.75" customHeight="1" x14ac:dyDescent="0.4">
      <c r="C13" s="5" t="s">
        <v>59</v>
      </c>
      <c r="D13" s="51">
        <v>0</v>
      </c>
      <c r="E13" s="5"/>
      <c r="F13" s="18">
        <f>F12*-$D$13</f>
        <v>0</v>
      </c>
      <c r="G13" s="112">
        <v>0</v>
      </c>
      <c r="H13" s="16">
        <f>D13</f>
        <v>0</v>
      </c>
      <c r="I13" s="16">
        <f t="shared" ref="I13:Q13" si="20">H13*(1+I10)</f>
        <v>0</v>
      </c>
      <c r="J13" s="16">
        <f t="shared" si="20"/>
        <v>0</v>
      </c>
      <c r="K13" s="16">
        <f t="shared" si="20"/>
        <v>0</v>
      </c>
      <c r="L13" s="16">
        <f t="shared" si="20"/>
        <v>0</v>
      </c>
      <c r="M13" s="16">
        <f t="shared" si="20"/>
        <v>0</v>
      </c>
      <c r="N13" s="16">
        <f t="shared" si="20"/>
        <v>0</v>
      </c>
      <c r="O13" s="16">
        <f t="shared" si="20"/>
        <v>0</v>
      </c>
      <c r="P13" s="16">
        <f t="shared" si="20"/>
        <v>0</v>
      </c>
      <c r="Q13" s="16">
        <f t="shared" si="20"/>
        <v>0</v>
      </c>
      <c r="R13" s="16">
        <f t="shared" ref="R13" si="21">Q13*(1+R10)</f>
        <v>0</v>
      </c>
      <c r="S13" s="16">
        <f t="shared" ref="S13" si="22">R13*(1+S10)</f>
        <v>0</v>
      </c>
      <c r="T13" s="16">
        <f t="shared" ref="T13" si="23">S13*(1+T10)</f>
        <v>0</v>
      </c>
      <c r="U13" s="16">
        <f t="shared" ref="U13" si="24">T13*(1+U10)</f>
        <v>0</v>
      </c>
      <c r="V13" s="16">
        <f t="shared" ref="V13" si="25">U13*(1+V10)</f>
        <v>0</v>
      </c>
      <c r="W13" s="16">
        <f t="shared" ref="W13" si="26">V13*(1+W10)</f>
        <v>0</v>
      </c>
      <c r="X13" s="16">
        <f t="shared" ref="X13" si="27">W13*(1+X10)</f>
        <v>0</v>
      </c>
      <c r="Y13" s="16">
        <f t="shared" ref="Y13" si="28">X13*(1+Y10)</f>
        <v>0</v>
      </c>
      <c r="Z13" s="16">
        <f t="shared" ref="Z13" si="29">Y13*(1+Z10)</f>
        <v>0</v>
      </c>
      <c r="AA13" s="16"/>
    </row>
    <row r="14" spans="2:27" ht="8.1999999999999993" customHeight="1" thickBot="1" x14ac:dyDescent="0.45">
      <c r="B14" s="25"/>
      <c r="C14" s="25"/>
      <c r="D14" s="25"/>
      <c r="E14" s="25"/>
      <c r="F14" s="36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</row>
  </sheetData>
  <printOptions horizontalCentered="1"/>
  <pageMargins left="0.5" right="0.5" top="0.75" bottom="0.75" header="0.5" footer="0.5"/>
  <pageSetup scale="6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I38"/>
  <sheetViews>
    <sheetView showGridLines="0" topLeftCell="P1" zoomScale="160" zoomScaleNormal="160" workbookViewId="0">
      <selection activeCell="O24" sqref="O24"/>
    </sheetView>
  </sheetViews>
  <sheetFormatPr defaultRowHeight="12.75" customHeight="1" outlineLevelRow="1" x14ac:dyDescent="0.35"/>
  <cols>
    <col min="1" max="1" width="0.796875" customWidth="1"/>
    <col min="2" max="5" width="1.796875" customWidth="1"/>
    <col min="6" max="6" width="6.796875" customWidth="1"/>
    <col min="7" max="7" width="1.796875" customWidth="1"/>
    <col min="8" max="8" width="12.796875" customWidth="1"/>
    <col min="9" max="10" width="7.796875" customWidth="1"/>
    <col min="11" max="12" width="0.796875" customWidth="1"/>
    <col min="13" max="24" width="11.796875" customWidth="1"/>
  </cols>
  <sheetData>
    <row r="1" spans="2:35" ht="12.75" customHeight="1" x14ac:dyDescent="0.5">
      <c r="B1" s="11" t="str">
        <f>'Project Costs &amp; Capital (UL)'!B1</f>
        <v xml:space="preserve">Vet Village- Affordable Housing </v>
      </c>
    </row>
    <row r="2" spans="2:35" ht="15" customHeight="1" x14ac:dyDescent="0.5">
      <c r="B2" s="68" t="s">
        <v>7</v>
      </c>
      <c r="C2" s="11"/>
      <c r="D2" s="11"/>
      <c r="E2" s="11"/>
      <c r="F2" s="11"/>
      <c r="G2" s="11"/>
      <c r="H2" s="11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</row>
    <row r="3" spans="2:35" ht="8.1999999999999993" customHeight="1" x14ac:dyDescent="0.5">
      <c r="B3" s="11"/>
      <c r="C3" s="9"/>
      <c r="D3" s="9"/>
      <c r="E3" s="9"/>
      <c r="F3" s="9"/>
      <c r="G3" s="9"/>
      <c r="H3" s="9"/>
    </row>
    <row r="4" spans="2:35" s="31" customFormat="1" ht="12.75" customHeight="1" x14ac:dyDescent="0.4">
      <c r="B4" s="40"/>
      <c r="C4" s="40"/>
      <c r="D4" s="40"/>
      <c r="E4" s="40"/>
      <c r="F4" s="40"/>
      <c r="G4" s="40"/>
      <c r="L4" s="26"/>
      <c r="M4" s="26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2:35" ht="12.75" customHeight="1" x14ac:dyDescent="0.4">
      <c r="B5" s="5"/>
      <c r="C5" s="5"/>
      <c r="D5" s="5"/>
      <c r="E5" s="5"/>
      <c r="F5" s="5"/>
      <c r="G5" s="5"/>
      <c r="L5" s="17"/>
      <c r="M5" s="242" t="s">
        <v>1</v>
      </c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</row>
    <row r="6" spans="2:35" s="10" customFormat="1" ht="12.75" customHeight="1" x14ac:dyDescent="0.4">
      <c r="B6" s="46"/>
      <c r="C6" s="44"/>
      <c r="D6" s="44"/>
      <c r="E6" s="44"/>
      <c r="F6" s="28"/>
      <c r="G6" s="28"/>
      <c r="L6" s="27"/>
      <c r="M6" s="116">
        <v>0</v>
      </c>
      <c r="N6" s="41">
        <v>1</v>
      </c>
      <c r="O6" s="42">
        <f>N6+1</f>
        <v>2</v>
      </c>
      <c r="P6" s="42">
        <f t="shared" ref="P6:X6" si="0">O6+1</f>
        <v>3</v>
      </c>
      <c r="Q6" s="42">
        <f t="shared" si="0"/>
        <v>4</v>
      </c>
      <c r="R6" s="42">
        <f t="shared" si="0"/>
        <v>5</v>
      </c>
      <c r="S6" s="43">
        <f t="shared" si="0"/>
        <v>6</v>
      </c>
      <c r="T6" s="43">
        <f t="shared" si="0"/>
        <v>7</v>
      </c>
      <c r="U6" s="43">
        <f t="shared" si="0"/>
        <v>8</v>
      </c>
      <c r="V6" s="43">
        <f t="shared" si="0"/>
        <v>9</v>
      </c>
      <c r="W6" s="43">
        <f t="shared" si="0"/>
        <v>10</v>
      </c>
      <c r="X6" s="43">
        <f t="shared" si="0"/>
        <v>11</v>
      </c>
      <c r="Y6" s="43">
        <f t="shared" ref="Y6" si="1">X6+1</f>
        <v>12</v>
      </c>
      <c r="Z6" s="43">
        <f t="shared" ref="Z6" si="2">Y6+1</f>
        <v>13</v>
      </c>
      <c r="AA6" s="43">
        <f t="shared" ref="AA6" si="3">Z6+1</f>
        <v>14</v>
      </c>
      <c r="AB6" s="43">
        <f t="shared" ref="AB6" si="4">AA6+1</f>
        <v>15</v>
      </c>
      <c r="AC6" s="43">
        <f t="shared" ref="AC6" si="5">AB6+1</f>
        <v>16</v>
      </c>
      <c r="AD6" s="43">
        <f t="shared" ref="AD6" si="6">AC6+1</f>
        <v>17</v>
      </c>
      <c r="AE6" s="43">
        <f t="shared" ref="AE6" si="7">AD6+1</f>
        <v>18</v>
      </c>
      <c r="AF6" s="43">
        <f t="shared" ref="AF6" si="8">AE6+1</f>
        <v>19</v>
      </c>
      <c r="AG6" s="43">
        <f t="shared" ref="AG6" si="9">AF6+1</f>
        <v>20</v>
      </c>
      <c r="AH6" s="231"/>
      <c r="AI6" s="231"/>
    </row>
    <row r="7" spans="2:35" s="1" customFormat="1" ht="8.1999999999999993" customHeight="1" x14ac:dyDescent="0.4">
      <c r="B7" s="39"/>
      <c r="C7" s="8"/>
      <c r="D7" s="8"/>
      <c r="E7" s="8"/>
      <c r="F7" s="8"/>
      <c r="G7" s="8"/>
      <c r="H7" s="8"/>
      <c r="I7" s="14"/>
      <c r="J7" s="13"/>
      <c r="K7" s="6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</row>
    <row r="8" spans="2:35" s="1" customFormat="1" ht="12.75" customHeight="1" x14ac:dyDescent="0.4">
      <c r="B8" s="240" t="s">
        <v>7</v>
      </c>
      <c r="C8" s="241"/>
      <c r="D8" s="241"/>
      <c r="E8" s="241"/>
      <c r="F8" s="241"/>
      <c r="G8" s="241"/>
      <c r="H8" s="241"/>
      <c r="I8" s="14"/>
      <c r="J8" s="13"/>
      <c r="K8" s="6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</row>
    <row r="10" spans="2:35" ht="12.75" customHeight="1" x14ac:dyDescent="0.4">
      <c r="C10" s="19" t="s">
        <v>48</v>
      </c>
    </row>
    <row r="11" spans="2:35" ht="12.75" customHeight="1" x14ac:dyDescent="0.4">
      <c r="C11" s="5"/>
      <c r="D11" s="5" t="s">
        <v>49</v>
      </c>
      <c r="E11" s="5"/>
      <c r="F11" s="5"/>
      <c r="G11" s="5"/>
      <c r="H11" s="5"/>
      <c r="I11" s="5"/>
      <c r="J11" s="5"/>
      <c r="K11" s="5"/>
      <c r="L11" s="5"/>
      <c r="M11" s="23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</row>
    <row r="12" spans="2:35" ht="12.75" customHeight="1" x14ac:dyDescent="0.4">
      <c r="C12" s="5"/>
      <c r="D12" s="5"/>
      <c r="E12" s="5" t="s">
        <v>86</v>
      </c>
      <c r="F12" s="5"/>
      <c r="G12" s="5"/>
      <c r="H12" s="5"/>
      <c r="I12" s="5"/>
      <c r="J12" s="5"/>
      <c r="K12" s="5"/>
      <c r="L12" s="5"/>
      <c r="M12" s="23">
        <f>'Rent Roll &amp; Leasing Assumptions'!G14</f>
        <v>0</v>
      </c>
      <c r="N12" s="22">
        <f>'Rent Roll &amp; Leasing Assumptions'!H14</f>
        <v>0</v>
      </c>
      <c r="O12" s="22">
        <f>'Rent Roll &amp; Leasing Assumptions'!I14</f>
        <v>250000</v>
      </c>
      <c r="P12" s="22">
        <f>'Rent Roll &amp; Leasing Assumptions'!J14</f>
        <v>250000</v>
      </c>
      <c r="Q12" s="22">
        <f>'Rent Roll &amp; Leasing Assumptions'!K14</f>
        <v>250000</v>
      </c>
      <c r="R12" s="22">
        <f>'Rent Roll &amp; Leasing Assumptions'!L14</f>
        <v>250000</v>
      </c>
      <c r="S12" s="22">
        <f>'Rent Roll &amp; Leasing Assumptions'!M14</f>
        <v>250000</v>
      </c>
      <c r="T12" s="22">
        <f>'Rent Roll &amp; Leasing Assumptions'!N14</f>
        <v>275000</v>
      </c>
      <c r="U12" s="22">
        <f>'Rent Roll &amp; Leasing Assumptions'!O14</f>
        <v>275000</v>
      </c>
      <c r="V12" s="22">
        <f>'Rent Roll &amp; Leasing Assumptions'!P14</f>
        <v>275000</v>
      </c>
      <c r="W12" s="22">
        <f>'Rent Roll &amp; Leasing Assumptions'!Q14</f>
        <v>275000</v>
      </c>
      <c r="X12" s="22">
        <f>'Rent Roll &amp; Leasing Assumptions'!R14</f>
        <v>275000</v>
      </c>
      <c r="Y12" s="22">
        <f>'Rent Roll &amp; Leasing Assumptions'!S14</f>
        <v>302500</v>
      </c>
      <c r="Z12" s="22">
        <f>'Rent Roll &amp; Leasing Assumptions'!T14</f>
        <v>302500</v>
      </c>
      <c r="AA12" s="22">
        <f>'Rent Roll &amp; Leasing Assumptions'!U14</f>
        <v>302500</v>
      </c>
      <c r="AB12" s="22">
        <f>'Rent Roll &amp; Leasing Assumptions'!V14</f>
        <v>302500</v>
      </c>
      <c r="AC12" s="22">
        <f>'Rent Roll &amp; Leasing Assumptions'!W14</f>
        <v>302500</v>
      </c>
      <c r="AD12" s="22">
        <f>'Rent Roll &amp; Leasing Assumptions'!X14</f>
        <v>332750</v>
      </c>
      <c r="AE12" s="22">
        <f>'Rent Roll &amp; Leasing Assumptions'!Y14</f>
        <v>332750</v>
      </c>
      <c r="AF12" s="22">
        <f>'Rent Roll &amp; Leasing Assumptions'!Z14</f>
        <v>332750</v>
      </c>
      <c r="AG12" s="22">
        <f>'Rent Roll &amp; Leasing Assumptions'!AA14</f>
        <v>332750</v>
      </c>
      <c r="AH12" s="22"/>
      <c r="AI12" s="22"/>
    </row>
    <row r="13" spans="2:35" ht="12.75" customHeight="1" x14ac:dyDescent="0.4">
      <c r="C13" s="5"/>
      <c r="D13" s="5"/>
      <c r="E13" s="5" t="s">
        <v>87</v>
      </c>
      <c r="F13" s="5"/>
      <c r="G13" s="5"/>
      <c r="H13" s="5"/>
      <c r="I13" s="5"/>
      <c r="J13" s="5"/>
      <c r="K13" s="5"/>
      <c r="L13" s="5"/>
      <c r="M13" s="107">
        <f>'Rent Roll &amp; Leasing Assumptions'!G15</f>
        <v>0</v>
      </c>
      <c r="N13" s="80">
        <f>'Rent Roll &amp; Leasing Assumptions'!H15</f>
        <v>0</v>
      </c>
      <c r="O13" s="80">
        <f>'Rent Roll &amp; Leasing Assumptions'!I15</f>
        <v>0</v>
      </c>
      <c r="P13" s="80">
        <f>'Rent Roll &amp; Leasing Assumptions'!J15</f>
        <v>0</v>
      </c>
      <c r="Q13" s="80">
        <f>'Rent Roll &amp; Leasing Assumptions'!K15</f>
        <v>0</v>
      </c>
      <c r="R13" s="80">
        <f>'Rent Roll &amp; Leasing Assumptions'!L15</f>
        <v>0</v>
      </c>
      <c r="S13" s="80">
        <f>'Rent Roll &amp; Leasing Assumptions'!M15</f>
        <v>0</v>
      </c>
      <c r="T13" s="80">
        <f>'Rent Roll &amp; Leasing Assumptions'!N15</f>
        <v>0</v>
      </c>
      <c r="U13" s="80">
        <f>'Rent Roll &amp; Leasing Assumptions'!O15</f>
        <v>0</v>
      </c>
      <c r="V13" s="80">
        <f>'Rent Roll &amp; Leasing Assumptions'!P15</f>
        <v>0</v>
      </c>
      <c r="W13" s="80">
        <f>'Rent Roll &amp; Leasing Assumptions'!Q15</f>
        <v>0</v>
      </c>
      <c r="X13" s="80">
        <f>'Rent Roll &amp; Leasing Assumptions'!R15</f>
        <v>0</v>
      </c>
      <c r="Y13" s="80">
        <f>'Rent Roll &amp; Leasing Assumptions'!S15</f>
        <v>0</v>
      </c>
      <c r="Z13" s="80">
        <f>'Rent Roll &amp; Leasing Assumptions'!T15</f>
        <v>0</v>
      </c>
      <c r="AA13" s="80">
        <f>'Rent Roll &amp; Leasing Assumptions'!U15</f>
        <v>0</v>
      </c>
      <c r="AB13" s="80">
        <f>'Rent Roll &amp; Leasing Assumptions'!V15</f>
        <v>0</v>
      </c>
      <c r="AC13" s="80">
        <f>'Rent Roll &amp; Leasing Assumptions'!W15</f>
        <v>0</v>
      </c>
      <c r="AD13" s="80">
        <f>'Rent Roll &amp; Leasing Assumptions'!X15</f>
        <v>0</v>
      </c>
      <c r="AE13" s="80">
        <f>'Rent Roll &amp; Leasing Assumptions'!Y15</f>
        <v>0</v>
      </c>
      <c r="AF13" s="80">
        <f>'Rent Roll &amp; Leasing Assumptions'!Z15</f>
        <v>0</v>
      </c>
      <c r="AG13" s="80">
        <f>'Rent Roll &amp; Leasing Assumptions'!AA15</f>
        <v>0</v>
      </c>
      <c r="AH13" s="232"/>
      <c r="AI13" s="232"/>
    </row>
    <row r="14" spans="2:35" ht="12.75" customHeight="1" x14ac:dyDescent="0.4">
      <c r="C14" s="5"/>
      <c r="D14" s="5" t="s">
        <v>50</v>
      </c>
      <c r="E14" s="5"/>
      <c r="F14" s="5"/>
      <c r="G14" s="5"/>
      <c r="H14" s="5"/>
      <c r="I14" s="5"/>
      <c r="J14" s="5"/>
      <c r="K14" s="5"/>
      <c r="L14" s="5"/>
      <c r="M14" s="47">
        <f>SUM(M12:M13)</f>
        <v>0</v>
      </c>
      <c r="N14" s="20">
        <f t="shared" ref="N14:X14" si="10">SUM(N12:N13)</f>
        <v>0</v>
      </c>
      <c r="O14" s="20">
        <f t="shared" si="10"/>
        <v>250000</v>
      </c>
      <c r="P14" s="20">
        <f t="shared" si="10"/>
        <v>250000</v>
      </c>
      <c r="Q14" s="20">
        <f t="shared" si="10"/>
        <v>250000</v>
      </c>
      <c r="R14" s="20">
        <f t="shared" si="10"/>
        <v>250000</v>
      </c>
      <c r="S14" s="20">
        <f t="shared" si="10"/>
        <v>250000</v>
      </c>
      <c r="T14" s="20">
        <f t="shared" si="10"/>
        <v>275000</v>
      </c>
      <c r="U14" s="20">
        <f t="shared" si="10"/>
        <v>275000</v>
      </c>
      <c r="V14" s="20">
        <f t="shared" si="10"/>
        <v>275000</v>
      </c>
      <c r="W14" s="20">
        <f t="shared" si="10"/>
        <v>275000</v>
      </c>
      <c r="X14" s="20">
        <f t="shared" si="10"/>
        <v>275000</v>
      </c>
      <c r="Y14" s="20">
        <f t="shared" ref="Y14:AG14" si="11">SUM(Y12:Y13)</f>
        <v>302500</v>
      </c>
      <c r="Z14" s="20">
        <f t="shared" si="11"/>
        <v>302500</v>
      </c>
      <c r="AA14" s="20">
        <f t="shared" si="11"/>
        <v>302500</v>
      </c>
      <c r="AB14" s="20">
        <f t="shared" si="11"/>
        <v>302500</v>
      </c>
      <c r="AC14" s="20">
        <f t="shared" si="11"/>
        <v>302500</v>
      </c>
      <c r="AD14" s="20">
        <f t="shared" si="11"/>
        <v>332750</v>
      </c>
      <c r="AE14" s="20">
        <f t="shared" si="11"/>
        <v>332750</v>
      </c>
      <c r="AF14" s="20">
        <f t="shared" si="11"/>
        <v>332750</v>
      </c>
      <c r="AG14" s="20">
        <f t="shared" si="11"/>
        <v>332750</v>
      </c>
      <c r="AH14" s="20"/>
      <c r="AI14" s="20"/>
    </row>
    <row r="15" spans="2:35" ht="12.75" customHeight="1" x14ac:dyDescent="0.4">
      <c r="C15" s="5"/>
      <c r="D15" s="5"/>
      <c r="E15" s="5"/>
      <c r="F15" s="5"/>
      <c r="G15" s="5"/>
      <c r="H15" s="5"/>
      <c r="I15" s="5"/>
      <c r="J15" s="5"/>
      <c r="K15" s="5"/>
      <c r="L15" s="5"/>
      <c r="M15" s="23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</row>
    <row r="16" spans="2:35" ht="12.75" customHeight="1" x14ac:dyDescent="0.4">
      <c r="C16" s="5" t="s">
        <v>2</v>
      </c>
      <c r="D16" s="5"/>
      <c r="E16" s="5"/>
      <c r="F16" s="5" t="s">
        <v>51</v>
      </c>
      <c r="G16" s="5"/>
      <c r="H16" s="5"/>
      <c r="I16" s="5"/>
      <c r="J16" s="5"/>
      <c r="K16" s="5"/>
      <c r="L16" s="5"/>
      <c r="M16" s="18"/>
      <c r="N16" s="108"/>
      <c r="O16" s="108">
        <f t="shared" ref="O16:X16" si="12">-O19/O14</f>
        <v>0</v>
      </c>
      <c r="P16" s="108">
        <f t="shared" si="12"/>
        <v>0</v>
      </c>
      <c r="Q16" s="108">
        <f t="shared" si="12"/>
        <v>0</v>
      </c>
      <c r="R16" s="108">
        <f t="shared" si="12"/>
        <v>0</v>
      </c>
      <c r="S16" s="108">
        <f t="shared" si="12"/>
        <v>0</v>
      </c>
      <c r="T16" s="108">
        <f t="shared" si="12"/>
        <v>0</v>
      </c>
      <c r="U16" s="108">
        <f t="shared" si="12"/>
        <v>0</v>
      </c>
      <c r="V16" s="108">
        <f t="shared" si="12"/>
        <v>0</v>
      </c>
      <c r="W16" s="108">
        <f t="shared" si="12"/>
        <v>0</v>
      </c>
      <c r="X16" s="108">
        <f t="shared" si="12"/>
        <v>0</v>
      </c>
      <c r="Y16" s="108">
        <f t="shared" ref="Y16:AG16" si="13">-Y19/Y14</f>
        <v>0</v>
      </c>
      <c r="Z16" s="108">
        <f t="shared" si="13"/>
        <v>0</v>
      </c>
      <c r="AA16" s="108">
        <f t="shared" si="13"/>
        <v>0</v>
      </c>
      <c r="AB16" s="108">
        <f t="shared" si="13"/>
        <v>0</v>
      </c>
      <c r="AC16" s="108">
        <f t="shared" si="13"/>
        <v>0</v>
      </c>
      <c r="AD16" s="108">
        <f t="shared" si="13"/>
        <v>0</v>
      </c>
      <c r="AE16" s="108">
        <f t="shared" si="13"/>
        <v>0</v>
      </c>
      <c r="AF16" s="108">
        <f t="shared" si="13"/>
        <v>0</v>
      </c>
      <c r="AG16" s="108">
        <f t="shared" si="13"/>
        <v>0</v>
      </c>
      <c r="AH16" s="234"/>
      <c r="AI16" s="234"/>
    </row>
    <row r="17" spans="3:35" ht="12.75" customHeight="1" x14ac:dyDescent="0.4">
      <c r="C17" s="5"/>
      <c r="D17" s="5" t="s">
        <v>86</v>
      </c>
      <c r="E17" s="5"/>
      <c r="F17" s="5"/>
      <c r="G17" s="5"/>
      <c r="H17" s="5"/>
      <c r="I17" s="48">
        <v>0</v>
      </c>
      <c r="J17" s="5"/>
      <c r="K17" s="5"/>
      <c r="L17" s="5"/>
      <c r="M17" s="18">
        <f t="shared" ref="M17:X17" si="14">M12*-$I$17</f>
        <v>0</v>
      </c>
      <c r="N17" s="81">
        <f t="shared" si="14"/>
        <v>0</v>
      </c>
      <c r="O17" s="81">
        <f t="shared" si="14"/>
        <v>0</v>
      </c>
      <c r="P17" s="81">
        <f>P12*-$I$17</f>
        <v>0</v>
      </c>
      <c r="Q17" s="81">
        <f t="shared" si="14"/>
        <v>0</v>
      </c>
      <c r="R17" s="81">
        <f t="shared" si="14"/>
        <v>0</v>
      </c>
      <c r="S17" s="81">
        <f t="shared" si="14"/>
        <v>0</v>
      </c>
      <c r="T17" s="81">
        <f t="shared" si="14"/>
        <v>0</v>
      </c>
      <c r="U17" s="81">
        <f t="shared" si="14"/>
        <v>0</v>
      </c>
      <c r="V17" s="81">
        <f t="shared" si="14"/>
        <v>0</v>
      </c>
      <c r="W17" s="81">
        <f t="shared" si="14"/>
        <v>0</v>
      </c>
      <c r="X17" s="81">
        <f t="shared" si="14"/>
        <v>0</v>
      </c>
      <c r="Y17" s="81">
        <f t="shared" ref="Y17:AG17" si="15">Y12*-$I$17</f>
        <v>0</v>
      </c>
      <c r="Z17" s="81">
        <f t="shared" si="15"/>
        <v>0</v>
      </c>
      <c r="AA17" s="81">
        <f t="shared" si="15"/>
        <v>0</v>
      </c>
      <c r="AB17" s="81">
        <f t="shared" si="15"/>
        <v>0</v>
      </c>
      <c r="AC17" s="81">
        <f t="shared" si="15"/>
        <v>0</v>
      </c>
      <c r="AD17" s="81">
        <f t="shared" si="15"/>
        <v>0</v>
      </c>
      <c r="AE17" s="81">
        <f t="shared" si="15"/>
        <v>0</v>
      </c>
      <c r="AF17" s="81">
        <f t="shared" si="15"/>
        <v>0</v>
      </c>
      <c r="AG17" s="81">
        <f t="shared" si="15"/>
        <v>0</v>
      </c>
      <c r="AH17" s="232"/>
      <c r="AI17" s="232"/>
    </row>
    <row r="18" spans="3:35" ht="12.75" customHeight="1" x14ac:dyDescent="0.4">
      <c r="C18" s="5"/>
      <c r="D18" s="5" t="s">
        <v>87</v>
      </c>
      <c r="E18" s="5"/>
      <c r="F18" s="5"/>
      <c r="G18" s="5"/>
      <c r="H18" s="5"/>
      <c r="I18" s="48">
        <v>0</v>
      </c>
      <c r="J18" s="5"/>
      <c r="K18" s="5"/>
      <c r="L18" s="5"/>
      <c r="M18" s="107">
        <f t="shared" ref="M18:X18" si="16">M13*-$I$18</f>
        <v>0</v>
      </c>
      <c r="N18" s="80">
        <f t="shared" si="16"/>
        <v>0</v>
      </c>
      <c r="O18" s="80">
        <f t="shared" si="16"/>
        <v>0</v>
      </c>
      <c r="P18" s="80">
        <f t="shared" si="16"/>
        <v>0</v>
      </c>
      <c r="Q18" s="80">
        <f t="shared" si="16"/>
        <v>0</v>
      </c>
      <c r="R18" s="80">
        <f t="shared" si="16"/>
        <v>0</v>
      </c>
      <c r="S18" s="80">
        <f t="shared" si="16"/>
        <v>0</v>
      </c>
      <c r="T18" s="80">
        <f t="shared" si="16"/>
        <v>0</v>
      </c>
      <c r="U18" s="80">
        <f t="shared" si="16"/>
        <v>0</v>
      </c>
      <c r="V18" s="80">
        <f t="shared" si="16"/>
        <v>0</v>
      </c>
      <c r="W18" s="80">
        <f t="shared" si="16"/>
        <v>0</v>
      </c>
      <c r="X18" s="80">
        <f t="shared" si="16"/>
        <v>0</v>
      </c>
      <c r="Y18" s="80">
        <f t="shared" ref="Y18:AG18" si="17">Y13*-$I$18</f>
        <v>0</v>
      </c>
      <c r="Z18" s="80">
        <f t="shared" si="17"/>
        <v>0</v>
      </c>
      <c r="AA18" s="80">
        <f t="shared" si="17"/>
        <v>0</v>
      </c>
      <c r="AB18" s="80">
        <f t="shared" si="17"/>
        <v>0</v>
      </c>
      <c r="AC18" s="80">
        <f t="shared" si="17"/>
        <v>0</v>
      </c>
      <c r="AD18" s="80">
        <f t="shared" si="17"/>
        <v>0</v>
      </c>
      <c r="AE18" s="80">
        <f t="shared" si="17"/>
        <v>0</v>
      </c>
      <c r="AF18" s="80">
        <f t="shared" si="17"/>
        <v>0</v>
      </c>
      <c r="AG18" s="80">
        <f t="shared" si="17"/>
        <v>0</v>
      </c>
      <c r="AH18" s="232"/>
      <c r="AI18" s="232"/>
    </row>
    <row r="19" spans="3:35" ht="12.75" customHeight="1" x14ac:dyDescent="0.4">
      <c r="C19" s="5" t="s">
        <v>52</v>
      </c>
      <c r="D19" s="5"/>
      <c r="E19" s="5"/>
      <c r="F19" s="5"/>
      <c r="G19" s="5"/>
      <c r="H19" s="5"/>
      <c r="I19" s="5"/>
      <c r="J19" s="5"/>
      <c r="K19" s="5"/>
      <c r="L19" s="5"/>
      <c r="M19" s="23">
        <f t="shared" ref="M19:X19" si="18">SUM(M17:M18)</f>
        <v>0</v>
      </c>
      <c r="N19" s="22">
        <f t="shared" si="18"/>
        <v>0</v>
      </c>
      <c r="O19" s="22">
        <f t="shared" si="18"/>
        <v>0</v>
      </c>
      <c r="P19" s="22">
        <f t="shared" si="18"/>
        <v>0</v>
      </c>
      <c r="Q19" s="22">
        <f t="shared" si="18"/>
        <v>0</v>
      </c>
      <c r="R19" s="22">
        <f t="shared" si="18"/>
        <v>0</v>
      </c>
      <c r="S19" s="22">
        <f t="shared" si="18"/>
        <v>0</v>
      </c>
      <c r="T19" s="22">
        <f t="shared" si="18"/>
        <v>0</v>
      </c>
      <c r="U19" s="22">
        <f t="shared" si="18"/>
        <v>0</v>
      </c>
      <c r="V19" s="22">
        <f t="shared" si="18"/>
        <v>0</v>
      </c>
      <c r="W19" s="22">
        <f t="shared" si="18"/>
        <v>0</v>
      </c>
      <c r="X19" s="22">
        <f t="shared" si="18"/>
        <v>0</v>
      </c>
      <c r="Y19" s="22">
        <f t="shared" ref="Y19:AG19" si="19">SUM(Y17:Y18)</f>
        <v>0</v>
      </c>
      <c r="Z19" s="22">
        <f t="shared" si="19"/>
        <v>0</v>
      </c>
      <c r="AA19" s="22">
        <f t="shared" si="19"/>
        <v>0</v>
      </c>
      <c r="AB19" s="22">
        <f t="shared" si="19"/>
        <v>0</v>
      </c>
      <c r="AC19" s="22">
        <f t="shared" si="19"/>
        <v>0</v>
      </c>
      <c r="AD19" s="22">
        <f t="shared" si="19"/>
        <v>0</v>
      </c>
      <c r="AE19" s="22">
        <f t="shared" si="19"/>
        <v>0</v>
      </c>
      <c r="AF19" s="22">
        <f t="shared" si="19"/>
        <v>0</v>
      </c>
      <c r="AG19" s="22">
        <f t="shared" si="19"/>
        <v>0</v>
      </c>
      <c r="AH19" s="22"/>
      <c r="AI19" s="22"/>
    </row>
    <row r="20" spans="3:35" ht="12.75" customHeight="1" x14ac:dyDescent="0.4">
      <c r="C20" s="5"/>
      <c r="D20" s="5"/>
      <c r="E20" s="5"/>
      <c r="F20" s="5"/>
      <c r="G20" s="5"/>
      <c r="H20" s="5"/>
      <c r="I20" s="5"/>
      <c r="J20" s="5"/>
      <c r="K20" s="5"/>
      <c r="L20" s="5"/>
      <c r="M20" s="23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</row>
    <row r="21" spans="3:35" ht="12.75" customHeight="1" x14ac:dyDescent="0.4">
      <c r="C21" s="19" t="s">
        <v>53</v>
      </c>
      <c r="D21" s="5"/>
      <c r="E21" s="5"/>
      <c r="F21" s="5"/>
      <c r="G21" s="5"/>
      <c r="H21" s="5"/>
      <c r="I21" s="5"/>
      <c r="J21" s="5"/>
      <c r="K21" s="5"/>
      <c r="L21" s="5"/>
      <c r="M21" s="47">
        <f t="shared" ref="M21:X21" si="20">M14+M19</f>
        <v>0</v>
      </c>
      <c r="N21" s="20">
        <f t="shared" si="20"/>
        <v>0</v>
      </c>
      <c r="O21" s="20">
        <f>O14+O19</f>
        <v>250000</v>
      </c>
      <c r="P21" s="20">
        <f t="shared" si="20"/>
        <v>250000</v>
      </c>
      <c r="Q21" s="20">
        <f t="shared" si="20"/>
        <v>250000</v>
      </c>
      <c r="R21" s="20">
        <f t="shared" si="20"/>
        <v>250000</v>
      </c>
      <c r="S21" s="20">
        <f t="shared" si="20"/>
        <v>250000</v>
      </c>
      <c r="T21" s="20">
        <f t="shared" si="20"/>
        <v>275000</v>
      </c>
      <c r="U21" s="20">
        <f t="shared" si="20"/>
        <v>275000</v>
      </c>
      <c r="V21" s="20">
        <f t="shared" si="20"/>
        <v>275000</v>
      </c>
      <c r="W21" s="20">
        <f t="shared" si="20"/>
        <v>275000</v>
      </c>
      <c r="X21" s="20">
        <f t="shared" si="20"/>
        <v>275000</v>
      </c>
      <c r="Y21" s="20">
        <f t="shared" ref="Y21:AG21" si="21">Y14+Y19</f>
        <v>302500</v>
      </c>
      <c r="Z21" s="20">
        <f t="shared" si="21"/>
        <v>302500</v>
      </c>
      <c r="AA21" s="20">
        <f t="shared" si="21"/>
        <v>302500</v>
      </c>
      <c r="AB21" s="20">
        <f t="shared" si="21"/>
        <v>302500</v>
      </c>
      <c r="AC21" s="20">
        <f t="shared" si="21"/>
        <v>302500</v>
      </c>
      <c r="AD21" s="20">
        <f t="shared" si="21"/>
        <v>332750</v>
      </c>
      <c r="AE21" s="20">
        <f t="shared" si="21"/>
        <v>332750</v>
      </c>
      <c r="AF21" s="20">
        <f t="shared" si="21"/>
        <v>332750</v>
      </c>
      <c r="AG21" s="20">
        <f t="shared" si="21"/>
        <v>332750</v>
      </c>
      <c r="AH21" s="20"/>
      <c r="AI21" s="20"/>
    </row>
    <row r="22" spans="3:35" ht="12.75" customHeight="1" x14ac:dyDescent="0.4">
      <c r="C22" s="5"/>
      <c r="D22" s="5"/>
      <c r="E22" s="5"/>
      <c r="F22" s="5"/>
      <c r="G22" s="5"/>
      <c r="H22" s="5"/>
      <c r="I22" s="5"/>
      <c r="J22" s="5"/>
      <c r="K22" s="5"/>
      <c r="L22" s="5"/>
      <c r="M22" s="23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</row>
    <row r="23" spans="3:35" ht="12.75" customHeight="1" x14ac:dyDescent="0.4">
      <c r="C23" s="19" t="s">
        <v>2</v>
      </c>
      <c r="D23" s="5"/>
      <c r="E23" s="5"/>
      <c r="F23" s="19" t="s">
        <v>54</v>
      </c>
      <c r="G23" s="5"/>
      <c r="H23" s="5"/>
      <c r="I23" s="5"/>
      <c r="J23" s="5"/>
      <c r="K23" s="5"/>
      <c r="L23" s="5"/>
      <c r="M23" s="23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236"/>
      <c r="AI23" s="236"/>
    </row>
    <row r="24" spans="3:35" ht="12.75" customHeight="1" x14ac:dyDescent="0.4">
      <c r="C24" s="5"/>
      <c r="D24" s="5" t="s">
        <v>55</v>
      </c>
      <c r="E24" s="5"/>
      <c r="F24" s="5"/>
      <c r="G24" s="5"/>
      <c r="H24" s="5"/>
      <c r="I24" s="5"/>
      <c r="J24" s="5"/>
      <c r="K24" s="5"/>
      <c r="L24" s="5"/>
      <c r="M24" s="23">
        <f>'Operating Expenses'!F12</f>
        <v>0</v>
      </c>
      <c r="N24" s="22">
        <f>'Operating Expenses'!G12</f>
        <v>0</v>
      </c>
      <c r="O24" s="22">
        <f>'Operating Expenses'!H12</f>
        <v>-5000</v>
      </c>
      <c r="P24" s="22">
        <f>'Operating Expenses'!I12</f>
        <v>-5150</v>
      </c>
      <c r="Q24" s="22">
        <f>'Operating Expenses'!J12</f>
        <v>-5304.5</v>
      </c>
      <c r="R24" s="22">
        <f>'Operating Expenses'!K12</f>
        <v>-5463.6350000000002</v>
      </c>
      <c r="S24" s="22">
        <f>'Operating Expenses'!L12</f>
        <v>-5627.5440500000004</v>
      </c>
      <c r="T24" s="22">
        <f>'Operating Expenses'!M12</f>
        <v>-5796.3703715000001</v>
      </c>
      <c r="U24" s="22">
        <f>'Operating Expenses'!N12</f>
        <v>-5970.2614826449999</v>
      </c>
      <c r="V24" s="22">
        <f>'Operating Expenses'!O12</f>
        <v>-6149.3693271243501</v>
      </c>
      <c r="W24" s="22">
        <f>'Operating Expenses'!P12</f>
        <v>-6333.8504069380806</v>
      </c>
      <c r="X24" s="22">
        <f>'Operating Expenses'!Q12</f>
        <v>-6523.865919146223</v>
      </c>
      <c r="Y24" s="22">
        <f>'Operating Expenses'!R12</f>
        <v>-6719.5818967206096</v>
      </c>
      <c r="Z24" s="22">
        <f>'Operating Expenses'!S12</f>
        <v>-6921.1693536222283</v>
      </c>
      <c r="AA24" s="22">
        <f>'Operating Expenses'!T12</f>
        <v>-7128.8044342308949</v>
      </c>
      <c r="AB24" s="22">
        <f>'Operating Expenses'!U12</f>
        <v>-7342.6685672578224</v>
      </c>
      <c r="AC24" s="22">
        <f>'Operating Expenses'!V12</f>
        <v>-7562.9486242755574</v>
      </c>
      <c r="AD24" s="22">
        <f>'Operating Expenses'!W12</f>
        <v>-7789.8370830038248</v>
      </c>
      <c r="AE24" s="22">
        <f>'Operating Expenses'!X12</f>
        <v>-8023.53219549394</v>
      </c>
      <c r="AF24" s="22">
        <f>'Operating Expenses'!Y12</f>
        <v>-8264.2381613587586</v>
      </c>
      <c r="AG24" s="22">
        <f>'Operating Expenses'!Z12</f>
        <v>-8512.1653061995221</v>
      </c>
      <c r="AH24" s="22"/>
      <c r="AI24" s="22"/>
    </row>
    <row r="25" spans="3:35" ht="12.75" customHeight="1" x14ac:dyDescent="0.4">
      <c r="C25" s="5"/>
      <c r="D25" s="5" t="s">
        <v>56</v>
      </c>
      <c r="E25" s="5"/>
      <c r="F25" s="5"/>
      <c r="G25" s="5"/>
      <c r="H25" s="5"/>
      <c r="I25" s="100"/>
      <c r="J25" s="5"/>
      <c r="K25" s="5"/>
      <c r="L25" s="5"/>
      <c r="M25" s="107">
        <f>'Operating Expenses'!F13</f>
        <v>0</v>
      </c>
      <c r="N25" s="80">
        <f>'Operating Expenses'!G13</f>
        <v>0</v>
      </c>
      <c r="O25" s="80">
        <f>'Operating Expenses'!H13</f>
        <v>0</v>
      </c>
      <c r="P25" s="80">
        <f>'Operating Expenses'!I13</f>
        <v>0</v>
      </c>
      <c r="Q25" s="80">
        <f>'Operating Expenses'!J13</f>
        <v>0</v>
      </c>
      <c r="R25" s="80">
        <f>'Operating Expenses'!K13</f>
        <v>0</v>
      </c>
      <c r="S25" s="80">
        <f>'Operating Expenses'!L13</f>
        <v>0</v>
      </c>
      <c r="T25" s="80">
        <f>'Operating Expenses'!M13</f>
        <v>0</v>
      </c>
      <c r="U25" s="80">
        <f>'Operating Expenses'!N13</f>
        <v>0</v>
      </c>
      <c r="V25" s="80">
        <f>'Operating Expenses'!O13</f>
        <v>0</v>
      </c>
      <c r="W25" s="80">
        <f>'Operating Expenses'!P13</f>
        <v>0</v>
      </c>
      <c r="X25" s="80">
        <f>'Operating Expenses'!Q13</f>
        <v>0</v>
      </c>
      <c r="Y25" s="80">
        <f>'Operating Expenses'!R13</f>
        <v>0</v>
      </c>
      <c r="Z25" s="80">
        <f>'Operating Expenses'!S13</f>
        <v>0</v>
      </c>
      <c r="AA25" s="80">
        <f>'Operating Expenses'!T13</f>
        <v>0</v>
      </c>
      <c r="AB25" s="80">
        <f>'Operating Expenses'!U13</f>
        <v>0</v>
      </c>
      <c r="AC25" s="80">
        <f>'Operating Expenses'!V13</f>
        <v>0</v>
      </c>
      <c r="AD25" s="80">
        <f>'Operating Expenses'!W13</f>
        <v>0</v>
      </c>
      <c r="AE25" s="80">
        <f>'Operating Expenses'!X13</f>
        <v>0</v>
      </c>
      <c r="AF25" s="80">
        <f>'Operating Expenses'!Y13</f>
        <v>0</v>
      </c>
      <c r="AG25" s="80">
        <f>'Operating Expenses'!Z13</f>
        <v>0</v>
      </c>
      <c r="AH25" s="232"/>
      <c r="AI25" s="232"/>
    </row>
    <row r="26" spans="3:35" ht="12.75" customHeight="1" x14ac:dyDescent="0.4">
      <c r="C26" s="19" t="s">
        <v>57</v>
      </c>
      <c r="D26" s="5"/>
      <c r="E26" s="5"/>
      <c r="F26" s="5"/>
      <c r="G26" s="5"/>
      <c r="H26" s="5"/>
      <c r="I26" s="5"/>
      <c r="J26" s="5"/>
      <c r="K26" s="5"/>
      <c r="L26" s="5"/>
      <c r="M26" s="23">
        <f>SUM(M24:M25)</f>
        <v>0</v>
      </c>
      <c r="N26" s="22">
        <f t="shared" ref="N26:X26" si="22">SUM(N24:N25)</f>
        <v>0</v>
      </c>
      <c r="O26" s="22">
        <f>SUM(O24:O25)</f>
        <v>-5000</v>
      </c>
      <c r="P26" s="22">
        <f t="shared" si="22"/>
        <v>-5150</v>
      </c>
      <c r="Q26" s="22">
        <f t="shared" si="22"/>
        <v>-5304.5</v>
      </c>
      <c r="R26" s="22">
        <f t="shared" si="22"/>
        <v>-5463.6350000000002</v>
      </c>
      <c r="S26" s="22">
        <f t="shared" si="22"/>
        <v>-5627.5440500000004</v>
      </c>
      <c r="T26" s="22">
        <f t="shared" si="22"/>
        <v>-5796.3703715000001</v>
      </c>
      <c r="U26" s="22">
        <f t="shared" si="22"/>
        <v>-5970.2614826449999</v>
      </c>
      <c r="V26" s="22">
        <f t="shared" si="22"/>
        <v>-6149.3693271243501</v>
      </c>
      <c r="W26" s="22">
        <f t="shared" si="22"/>
        <v>-6333.8504069380806</v>
      </c>
      <c r="X26" s="22">
        <f t="shared" si="22"/>
        <v>-6523.865919146223</v>
      </c>
      <c r="Y26" s="22">
        <f t="shared" ref="Y26:AG26" si="23">SUM(Y24:Y25)</f>
        <v>-6719.5818967206096</v>
      </c>
      <c r="Z26" s="22">
        <f t="shared" si="23"/>
        <v>-6921.1693536222283</v>
      </c>
      <c r="AA26" s="22">
        <f t="shared" si="23"/>
        <v>-7128.8044342308949</v>
      </c>
      <c r="AB26" s="22">
        <f t="shared" si="23"/>
        <v>-7342.6685672578224</v>
      </c>
      <c r="AC26" s="22">
        <f t="shared" si="23"/>
        <v>-7562.9486242755574</v>
      </c>
      <c r="AD26" s="22">
        <f t="shared" si="23"/>
        <v>-7789.8370830038248</v>
      </c>
      <c r="AE26" s="22">
        <f t="shared" si="23"/>
        <v>-8023.53219549394</v>
      </c>
      <c r="AF26" s="22">
        <f t="shared" si="23"/>
        <v>-8264.2381613587586</v>
      </c>
      <c r="AG26" s="22">
        <f t="shared" si="23"/>
        <v>-8512.1653061995221</v>
      </c>
      <c r="AH26" s="22"/>
      <c r="AI26" s="22"/>
    </row>
    <row r="27" spans="3:35" ht="12.75" customHeight="1" x14ac:dyDescent="0.4">
      <c r="C27" s="5"/>
      <c r="D27" s="5"/>
      <c r="E27" s="5"/>
      <c r="F27" s="5"/>
      <c r="G27" s="5"/>
      <c r="H27" s="5"/>
      <c r="I27" s="5"/>
      <c r="J27" s="5"/>
      <c r="K27" s="5"/>
      <c r="L27" s="5"/>
      <c r="M27" s="23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</row>
    <row r="28" spans="3:35" ht="2.2000000000000002" customHeight="1" x14ac:dyDescent="0.4">
      <c r="C28" s="5"/>
      <c r="D28" s="5"/>
      <c r="E28" s="5"/>
      <c r="F28" s="5"/>
      <c r="G28" s="5"/>
      <c r="H28" s="5"/>
      <c r="I28" s="5"/>
      <c r="J28" s="5"/>
      <c r="K28" s="5"/>
      <c r="L28" s="5"/>
      <c r="M28" s="7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3:35" s="35" customFormat="1" ht="12.75" customHeight="1" thickBot="1" x14ac:dyDescent="0.45">
      <c r="C29" s="145" t="s">
        <v>7</v>
      </c>
      <c r="D29" s="145"/>
      <c r="E29" s="145"/>
      <c r="F29" s="145"/>
      <c r="G29" s="145"/>
      <c r="H29" s="145"/>
      <c r="I29" s="145"/>
      <c r="J29" s="145"/>
      <c r="K29" s="145"/>
      <c r="L29" s="145"/>
      <c r="M29" s="143">
        <f>M21+M26</f>
        <v>0</v>
      </c>
      <c r="N29" s="144">
        <f t="shared" ref="N29:X29" si="24">N21+N26</f>
        <v>0</v>
      </c>
      <c r="O29" s="144">
        <f t="shared" si="24"/>
        <v>245000</v>
      </c>
      <c r="P29" s="144">
        <f t="shared" si="24"/>
        <v>244850</v>
      </c>
      <c r="Q29" s="144">
        <f t="shared" si="24"/>
        <v>244695.5</v>
      </c>
      <c r="R29" s="144">
        <f>R21+R26</f>
        <v>244536.36499999999</v>
      </c>
      <c r="S29" s="144">
        <f t="shared" si="24"/>
        <v>244372.45595</v>
      </c>
      <c r="T29" s="144">
        <f t="shared" si="24"/>
        <v>269203.62962850003</v>
      </c>
      <c r="U29" s="144">
        <f t="shared" si="24"/>
        <v>269029.738517355</v>
      </c>
      <c r="V29" s="144">
        <f t="shared" si="24"/>
        <v>268850.63067287568</v>
      </c>
      <c r="W29" s="144">
        <f t="shared" si="24"/>
        <v>268666.14959306194</v>
      </c>
      <c r="X29" s="144">
        <f t="shared" si="24"/>
        <v>268476.13408085378</v>
      </c>
      <c r="Y29" s="144">
        <f t="shared" ref="Y29:AG29" si="25">Y21+Y26</f>
        <v>295780.41810327937</v>
      </c>
      <c r="Z29" s="144">
        <f t="shared" si="25"/>
        <v>295578.83064637776</v>
      </c>
      <c r="AA29" s="144">
        <f t="shared" si="25"/>
        <v>295371.1955657691</v>
      </c>
      <c r="AB29" s="144">
        <f t="shared" si="25"/>
        <v>295157.33143274218</v>
      </c>
      <c r="AC29" s="144">
        <f t="shared" si="25"/>
        <v>294937.05137572443</v>
      </c>
      <c r="AD29" s="144">
        <f t="shared" si="25"/>
        <v>324960.16291699617</v>
      </c>
      <c r="AE29" s="144">
        <f t="shared" si="25"/>
        <v>324726.46780450607</v>
      </c>
      <c r="AF29" s="144">
        <f t="shared" si="25"/>
        <v>324485.76183864125</v>
      </c>
      <c r="AG29" s="144">
        <f t="shared" si="25"/>
        <v>324237.83469380048</v>
      </c>
      <c r="AH29" s="20"/>
      <c r="AI29" s="20"/>
    </row>
    <row r="30" spans="3:35" s="35" customFormat="1" ht="12.75" customHeight="1" thickTop="1" x14ac:dyDescent="0.4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47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</row>
    <row r="31" spans="3:35" s="35" customFormat="1" ht="12.75" hidden="1" customHeight="1" outlineLevel="1" x14ac:dyDescent="0.4">
      <c r="C31" s="19" t="s">
        <v>2</v>
      </c>
      <c r="D31" s="19"/>
      <c r="E31" s="19"/>
      <c r="F31" s="19" t="s">
        <v>73</v>
      </c>
      <c r="G31" s="19"/>
      <c r="H31" s="19"/>
      <c r="I31" s="19"/>
      <c r="J31" s="19"/>
      <c r="K31" s="19"/>
      <c r="L31" s="19"/>
      <c r="M31" s="47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</row>
    <row r="32" spans="3:35" s="35" customFormat="1" ht="12.75" hidden="1" customHeight="1" outlineLevel="1" x14ac:dyDescent="0.4">
      <c r="C32" s="19"/>
      <c r="D32" s="5" t="s">
        <v>72</v>
      </c>
      <c r="E32" s="19"/>
      <c r="F32" s="19"/>
      <c r="G32" s="19"/>
      <c r="H32" s="19"/>
      <c r="I32" s="19"/>
      <c r="J32" s="19"/>
      <c r="K32" s="19"/>
      <c r="L32" s="19"/>
      <c r="M32" s="23" t="e">
        <f>'Rent Roll &amp; Leasing Assumptions'!#REF!</f>
        <v>#REF!</v>
      </c>
      <c r="N32" s="22" t="e">
        <f>'Rent Roll &amp; Leasing Assumptions'!#REF!</f>
        <v>#REF!</v>
      </c>
      <c r="O32" s="22" t="e">
        <f>'Rent Roll &amp; Leasing Assumptions'!#REF!</f>
        <v>#REF!</v>
      </c>
      <c r="P32" s="22" t="e">
        <f>'Rent Roll &amp; Leasing Assumptions'!#REF!</f>
        <v>#REF!</v>
      </c>
      <c r="Q32" s="22" t="e">
        <f>'Rent Roll &amp; Leasing Assumptions'!#REF!</f>
        <v>#REF!</v>
      </c>
      <c r="R32" s="22" t="e">
        <f>'Rent Roll &amp; Leasing Assumptions'!#REF!</f>
        <v>#REF!</v>
      </c>
      <c r="S32" s="22" t="e">
        <f>'Rent Roll &amp; Leasing Assumptions'!#REF!</f>
        <v>#REF!</v>
      </c>
      <c r="T32" s="22" t="e">
        <f>'Rent Roll &amp; Leasing Assumptions'!#REF!</f>
        <v>#REF!</v>
      </c>
      <c r="U32" s="22" t="e">
        <f>'Rent Roll &amp; Leasing Assumptions'!#REF!</f>
        <v>#REF!</v>
      </c>
      <c r="V32" s="22" t="e">
        <f>'Rent Roll &amp; Leasing Assumptions'!#REF!</f>
        <v>#REF!</v>
      </c>
      <c r="W32" s="22" t="e">
        <f>'Rent Roll &amp; Leasing Assumptions'!#REF!</f>
        <v>#REF!</v>
      </c>
      <c r="X32" s="22" t="e">
        <f>'Rent Roll &amp; Leasing Assumptions'!#REF!</f>
        <v>#REF!</v>
      </c>
      <c r="Y32" s="22" t="e">
        <f>'Rent Roll &amp; Leasing Assumptions'!#REF!</f>
        <v>#REF!</v>
      </c>
      <c r="Z32" s="22" t="e">
        <f>'Rent Roll &amp; Leasing Assumptions'!#REF!</f>
        <v>#REF!</v>
      </c>
      <c r="AA32" s="22" t="e">
        <f>'Rent Roll &amp; Leasing Assumptions'!#REF!</f>
        <v>#REF!</v>
      </c>
      <c r="AB32" s="22" t="e">
        <f>'Rent Roll &amp; Leasing Assumptions'!#REF!</f>
        <v>#REF!</v>
      </c>
      <c r="AC32" s="22" t="e">
        <f>'Rent Roll &amp; Leasing Assumptions'!#REF!</f>
        <v>#REF!</v>
      </c>
      <c r="AD32" s="22" t="e">
        <f>'Rent Roll &amp; Leasing Assumptions'!#REF!</f>
        <v>#REF!</v>
      </c>
      <c r="AE32" s="22" t="e">
        <f>'Rent Roll &amp; Leasing Assumptions'!#REF!</f>
        <v>#REF!</v>
      </c>
      <c r="AF32" s="22" t="e">
        <f>'Rent Roll &amp; Leasing Assumptions'!#REF!</f>
        <v>#REF!</v>
      </c>
      <c r="AG32" s="22" t="e">
        <f>'Rent Roll &amp; Leasing Assumptions'!#REF!</f>
        <v>#REF!</v>
      </c>
      <c r="AH32" s="22"/>
      <c r="AI32" s="22"/>
    </row>
    <row r="33" spans="2:35" s="35" customFormat="1" ht="12.75" hidden="1" customHeight="1" outlineLevel="1" x14ac:dyDescent="0.4">
      <c r="C33" s="19"/>
      <c r="D33" s="5" t="s">
        <v>71</v>
      </c>
      <c r="E33" s="19"/>
      <c r="F33" s="19"/>
      <c r="G33" s="19"/>
      <c r="H33" s="19"/>
      <c r="I33" s="19"/>
      <c r="J33" s="19"/>
      <c r="K33" s="19"/>
      <c r="L33" s="19"/>
      <c r="M33" s="107" t="e">
        <f>'Rent Roll &amp; Leasing Assumptions'!#REF!</f>
        <v>#REF!</v>
      </c>
      <c r="N33" s="80" t="e">
        <f>'Rent Roll &amp; Leasing Assumptions'!#REF!</f>
        <v>#REF!</v>
      </c>
      <c r="O33" s="80" t="e">
        <f>'Rent Roll &amp; Leasing Assumptions'!#REF!</f>
        <v>#REF!</v>
      </c>
      <c r="P33" s="80" t="e">
        <f>'Rent Roll &amp; Leasing Assumptions'!#REF!</f>
        <v>#REF!</v>
      </c>
      <c r="Q33" s="80" t="e">
        <f>'Rent Roll &amp; Leasing Assumptions'!#REF!</f>
        <v>#REF!</v>
      </c>
      <c r="R33" s="80" t="e">
        <f>'Rent Roll &amp; Leasing Assumptions'!#REF!</f>
        <v>#REF!</v>
      </c>
      <c r="S33" s="80" t="e">
        <f>'Rent Roll &amp; Leasing Assumptions'!#REF!</f>
        <v>#REF!</v>
      </c>
      <c r="T33" s="80" t="e">
        <f>'Rent Roll &amp; Leasing Assumptions'!#REF!</f>
        <v>#REF!</v>
      </c>
      <c r="U33" s="80" t="e">
        <f>'Rent Roll &amp; Leasing Assumptions'!#REF!</f>
        <v>#REF!</v>
      </c>
      <c r="V33" s="80" t="e">
        <f>'Rent Roll &amp; Leasing Assumptions'!#REF!</f>
        <v>#REF!</v>
      </c>
      <c r="W33" s="80" t="e">
        <f>'Rent Roll &amp; Leasing Assumptions'!#REF!</f>
        <v>#REF!</v>
      </c>
      <c r="X33" s="80" t="e">
        <f>'Rent Roll &amp; Leasing Assumptions'!#REF!</f>
        <v>#REF!</v>
      </c>
      <c r="Y33" s="80" t="e">
        <f>'Rent Roll &amp; Leasing Assumptions'!#REF!</f>
        <v>#REF!</v>
      </c>
      <c r="Z33" s="80" t="e">
        <f>'Rent Roll &amp; Leasing Assumptions'!#REF!</f>
        <v>#REF!</v>
      </c>
      <c r="AA33" s="80" t="e">
        <f>'Rent Roll &amp; Leasing Assumptions'!#REF!</f>
        <v>#REF!</v>
      </c>
      <c r="AB33" s="80" t="e">
        <f>'Rent Roll &amp; Leasing Assumptions'!#REF!</f>
        <v>#REF!</v>
      </c>
      <c r="AC33" s="80" t="e">
        <f>'Rent Roll &amp; Leasing Assumptions'!#REF!</f>
        <v>#REF!</v>
      </c>
      <c r="AD33" s="80" t="e">
        <f>'Rent Roll &amp; Leasing Assumptions'!#REF!</f>
        <v>#REF!</v>
      </c>
      <c r="AE33" s="80" t="e">
        <f>'Rent Roll &amp; Leasing Assumptions'!#REF!</f>
        <v>#REF!</v>
      </c>
      <c r="AF33" s="80" t="e">
        <f>'Rent Roll &amp; Leasing Assumptions'!#REF!</f>
        <v>#REF!</v>
      </c>
      <c r="AG33" s="80" t="e">
        <f>'Rent Roll &amp; Leasing Assumptions'!#REF!</f>
        <v>#REF!</v>
      </c>
      <c r="AH33" s="232"/>
      <c r="AI33" s="232"/>
    </row>
    <row r="34" spans="2:35" s="35" customFormat="1" ht="12.75" hidden="1" customHeight="1" outlineLevel="1" x14ac:dyDescent="0.4">
      <c r="C34" s="19" t="s">
        <v>74</v>
      </c>
      <c r="D34" s="5"/>
      <c r="E34" s="19"/>
      <c r="F34" s="19"/>
      <c r="G34" s="19"/>
      <c r="H34" s="19"/>
      <c r="I34" s="19"/>
      <c r="J34" s="19"/>
      <c r="K34" s="19"/>
      <c r="L34" s="19"/>
      <c r="M34" s="47" t="e">
        <f>SUM(M32:M33)</f>
        <v>#REF!</v>
      </c>
      <c r="N34" s="20" t="e">
        <f t="shared" ref="N34:X34" si="26">SUM(N32:N33)</f>
        <v>#REF!</v>
      </c>
      <c r="O34" s="20" t="e">
        <f t="shared" si="26"/>
        <v>#REF!</v>
      </c>
      <c r="P34" s="20" t="e">
        <f t="shared" si="26"/>
        <v>#REF!</v>
      </c>
      <c r="Q34" s="20" t="e">
        <f t="shared" si="26"/>
        <v>#REF!</v>
      </c>
      <c r="R34" s="20" t="e">
        <f t="shared" si="26"/>
        <v>#REF!</v>
      </c>
      <c r="S34" s="20" t="e">
        <f t="shared" si="26"/>
        <v>#REF!</v>
      </c>
      <c r="T34" s="20" t="e">
        <f t="shared" si="26"/>
        <v>#REF!</v>
      </c>
      <c r="U34" s="20" t="e">
        <f t="shared" si="26"/>
        <v>#REF!</v>
      </c>
      <c r="V34" s="20" t="e">
        <f t="shared" si="26"/>
        <v>#REF!</v>
      </c>
      <c r="W34" s="20" t="e">
        <f t="shared" si="26"/>
        <v>#REF!</v>
      </c>
      <c r="X34" s="20" t="e">
        <f t="shared" si="26"/>
        <v>#REF!</v>
      </c>
      <c r="Y34" s="20" t="e">
        <f t="shared" ref="Y34:AG34" si="27">SUM(Y32:Y33)</f>
        <v>#REF!</v>
      </c>
      <c r="Z34" s="20" t="e">
        <f t="shared" si="27"/>
        <v>#REF!</v>
      </c>
      <c r="AA34" s="20" t="e">
        <f t="shared" si="27"/>
        <v>#REF!</v>
      </c>
      <c r="AB34" s="20" t="e">
        <f t="shared" si="27"/>
        <v>#REF!</v>
      </c>
      <c r="AC34" s="20" t="e">
        <f t="shared" si="27"/>
        <v>#REF!</v>
      </c>
      <c r="AD34" s="20" t="e">
        <f t="shared" si="27"/>
        <v>#REF!</v>
      </c>
      <c r="AE34" s="20" t="e">
        <f t="shared" si="27"/>
        <v>#REF!</v>
      </c>
      <c r="AF34" s="20" t="e">
        <f t="shared" si="27"/>
        <v>#REF!</v>
      </c>
      <c r="AG34" s="20" t="e">
        <f t="shared" si="27"/>
        <v>#REF!</v>
      </c>
      <c r="AH34" s="20"/>
      <c r="AI34" s="20"/>
    </row>
    <row r="35" spans="2:35" s="35" customFormat="1" ht="12.75" hidden="1" customHeight="1" outlineLevel="1" x14ac:dyDescent="0.4">
      <c r="C35" s="19"/>
      <c r="D35" s="5"/>
      <c r="E35" s="19"/>
      <c r="F35" s="19"/>
      <c r="G35" s="19"/>
      <c r="H35" s="19"/>
      <c r="I35" s="19"/>
      <c r="J35" s="19"/>
      <c r="K35" s="19"/>
      <c r="L35" s="19"/>
      <c r="M35" s="47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</row>
    <row r="36" spans="2:35" s="35" customFormat="1" ht="12.75" hidden="1" customHeight="1" outlineLevel="1" x14ac:dyDescent="0.4">
      <c r="C36" s="19" t="s">
        <v>75</v>
      </c>
      <c r="D36" s="5"/>
      <c r="E36" s="19"/>
      <c r="F36" s="19"/>
      <c r="G36" s="19"/>
      <c r="H36" s="19"/>
      <c r="I36" s="19"/>
      <c r="J36" s="19"/>
      <c r="K36" s="19"/>
      <c r="L36" s="19"/>
      <c r="M36" s="47" t="e">
        <f>M29+M34</f>
        <v>#REF!</v>
      </c>
      <c r="N36" s="20" t="e">
        <f t="shared" ref="N36:X36" si="28">N29+N34</f>
        <v>#REF!</v>
      </c>
      <c r="O36" s="20" t="e">
        <f t="shared" si="28"/>
        <v>#REF!</v>
      </c>
      <c r="P36" s="20" t="e">
        <f t="shared" si="28"/>
        <v>#REF!</v>
      </c>
      <c r="Q36" s="20" t="e">
        <f t="shared" si="28"/>
        <v>#REF!</v>
      </c>
      <c r="R36" s="20" t="e">
        <f t="shared" si="28"/>
        <v>#REF!</v>
      </c>
      <c r="S36" s="20" t="e">
        <f t="shared" si="28"/>
        <v>#REF!</v>
      </c>
      <c r="T36" s="20" t="e">
        <f t="shared" si="28"/>
        <v>#REF!</v>
      </c>
      <c r="U36" s="20" t="e">
        <f t="shared" si="28"/>
        <v>#REF!</v>
      </c>
      <c r="V36" s="20" t="e">
        <f t="shared" si="28"/>
        <v>#REF!</v>
      </c>
      <c r="W36" s="20" t="e">
        <f t="shared" si="28"/>
        <v>#REF!</v>
      </c>
      <c r="X36" s="20" t="e">
        <f t="shared" si="28"/>
        <v>#REF!</v>
      </c>
      <c r="Y36" s="20" t="e">
        <f t="shared" ref="Y36:AG36" si="29">Y29+Y34</f>
        <v>#REF!</v>
      </c>
      <c r="Z36" s="20" t="e">
        <f t="shared" si="29"/>
        <v>#REF!</v>
      </c>
      <c r="AA36" s="20" t="e">
        <f t="shared" si="29"/>
        <v>#REF!</v>
      </c>
      <c r="AB36" s="20" t="e">
        <f t="shared" si="29"/>
        <v>#REF!</v>
      </c>
      <c r="AC36" s="20" t="e">
        <f t="shared" si="29"/>
        <v>#REF!</v>
      </c>
      <c r="AD36" s="20" t="e">
        <f t="shared" si="29"/>
        <v>#REF!</v>
      </c>
      <c r="AE36" s="20" t="e">
        <f t="shared" si="29"/>
        <v>#REF!</v>
      </c>
      <c r="AF36" s="20" t="e">
        <f t="shared" si="29"/>
        <v>#REF!</v>
      </c>
      <c r="AG36" s="20" t="e">
        <f t="shared" si="29"/>
        <v>#REF!</v>
      </c>
      <c r="AH36" s="20"/>
      <c r="AI36" s="20"/>
    </row>
    <row r="37" spans="2:35" s="35" customFormat="1" ht="12.75" customHeight="1" collapsed="1" x14ac:dyDescent="0.4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47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</row>
    <row r="38" spans="2:35" ht="8.1999999999999993" customHeight="1" thickBot="1" x14ac:dyDescent="0.45"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36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22"/>
      <c r="AI38" s="22"/>
    </row>
  </sheetData>
  <mergeCells count="2">
    <mergeCell ref="M5:X5"/>
    <mergeCell ref="B8:H8"/>
  </mergeCells>
  <printOptions horizontalCentered="1"/>
  <pageMargins left="0.5" right="0.5" top="0.75" bottom="0.75" header="0.5" footer="0.5"/>
  <pageSetup scale="6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H78"/>
  <sheetViews>
    <sheetView showGridLines="0" topLeftCell="A56" zoomScale="170" zoomScaleNormal="170" workbookViewId="0">
      <selection activeCell="H69" sqref="H69"/>
    </sheetView>
  </sheetViews>
  <sheetFormatPr defaultRowHeight="12.75" customHeight="1" outlineLevelRow="2" x14ac:dyDescent="0.35"/>
  <cols>
    <col min="1" max="1" width="0.796875" customWidth="1"/>
    <col min="2" max="3" width="1.796875" customWidth="1"/>
    <col min="4" max="4" width="4.796875" customWidth="1"/>
    <col min="5" max="5" width="15.796875" customWidth="1"/>
    <col min="6" max="6" width="6.796875" customWidth="1"/>
    <col min="7" max="7" width="1.796875" customWidth="1"/>
    <col min="8" max="8" width="12.796875" customWidth="1"/>
    <col min="9" max="10" width="7.796875" customWidth="1"/>
    <col min="11" max="22" width="11.796875" customWidth="1"/>
    <col min="25" max="27" width="10.19921875" bestFit="1" customWidth="1"/>
    <col min="31" max="31" width="10.19921875" bestFit="1" customWidth="1"/>
  </cols>
  <sheetData>
    <row r="1" spans="2:34" ht="15" customHeight="1" x14ac:dyDescent="0.5">
      <c r="B1" s="11" t="str">
        <f>'Net Operating Income'!B1</f>
        <v xml:space="preserve">Vet Village- Affordable Housing </v>
      </c>
      <c r="C1" s="11"/>
      <c r="D1" s="11"/>
      <c r="E1" s="11"/>
      <c r="F1" s="11"/>
      <c r="G1" s="11"/>
      <c r="H1" s="11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2:34" ht="15" customHeight="1" x14ac:dyDescent="0.5">
      <c r="B2" s="68" t="s">
        <v>120</v>
      </c>
      <c r="C2" s="11"/>
      <c r="D2" s="11"/>
      <c r="E2" s="11"/>
      <c r="F2" s="11"/>
      <c r="G2" s="11"/>
      <c r="H2" s="11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</row>
    <row r="3" spans="2:34" ht="8.1999999999999993" customHeight="1" x14ac:dyDescent="0.5">
      <c r="B3" s="11"/>
      <c r="C3" s="9"/>
      <c r="D3" s="9"/>
      <c r="E3" s="9"/>
      <c r="F3" s="9"/>
      <c r="G3" s="9"/>
      <c r="H3" s="9"/>
    </row>
    <row r="4" spans="2:34" s="31" customFormat="1" ht="12.75" customHeight="1" x14ac:dyDescent="0.4">
      <c r="B4" s="40"/>
      <c r="C4" s="40"/>
      <c r="D4" s="40"/>
      <c r="E4" s="40"/>
      <c r="F4" s="40"/>
      <c r="G4" s="40"/>
      <c r="K4" s="26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2:34" ht="12.75" customHeight="1" x14ac:dyDescent="0.4">
      <c r="B5" s="5"/>
      <c r="C5" s="5"/>
      <c r="D5" s="5"/>
      <c r="E5" s="5"/>
      <c r="F5" s="5"/>
      <c r="G5" s="5"/>
      <c r="K5" s="242" t="s">
        <v>1</v>
      </c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</row>
    <row r="6" spans="2:34" s="10" customFormat="1" ht="12.75" customHeight="1" x14ac:dyDescent="0.4">
      <c r="B6" s="46"/>
      <c r="C6" s="44"/>
      <c r="D6" s="44"/>
      <c r="E6" s="44"/>
      <c r="F6" s="28"/>
      <c r="G6" s="28"/>
      <c r="K6" s="116">
        <v>0</v>
      </c>
      <c r="L6" s="41">
        <v>1</v>
      </c>
      <c r="M6" s="42">
        <f>L6+1</f>
        <v>2</v>
      </c>
      <c r="N6" s="42">
        <f t="shared" ref="N6:Q6" si="0">M6+1</f>
        <v>3</v>
      </c>
      <c r="O6" s="42">
        <f t="shared" si="0"/>
        <v>4</v>
      </c>
      <c r="P6" s="42">
        <f t="shared" si="0"/>
        <v>5</v>
      </c>
      <c r="Q6" s="43">
        <f t="shared" si="0"/>
        <v>6</v>
      </c>
      <c r="R6" s="43">
        <f t="shared" ref="R6" si="1">Q6+1</f>
        <v>7</v>
      </c>
      <c r="S6" s="43">
        <f t="shared" ref="S6" si="2">R6+1</f>
        <v>8</v>
      </c>
      <c r="T6" s="43">
        <f t="shared" ref="T6" si="3">S6+1</f>
        <v>9</v>
      </c>
      <c r="U6" s="43">
        <f t="shared" ref="U6" si="4">T6+1</f>
        <v>10</v>
      </c>
      <c r="V6" s="43">
        <f t="shared" ref="V6" si="5">U6+1</f>
        <v>11</v>
      </c>
      <c r="W6" s="43">
        <f t="shared" ref="W6" si="6">V6+1</f>
        <v>12</v>
      </c>
      <c r="X6" s="43">
        <f t="shared" ref="X6" si="7">W6+1</f>
        <v>13</v>
      </c>
      <c r="Y6" s="43">
        <f t="shared" ref="Y6" si="8">X6+1</f>
        <v>14</v>
      </c>
      <c r="Z6" s="43">
        <f t="shared" ref="Z6" si="9">Y6+1</f>
        <v>15</v>
      </c>
      <c r="AA6" s="43">
        <f t="shared" ref="AA6" si="10">Z6+1</f>
        <v>16</v>
      </c>
      <c r="AB6" s="43">
        <f t="shared" ref="AB6" si="11">AA6+1</f>
        <v>17</v>
      </c>
      <c r="AC6" s="43">
        <f t="shared" ref="AC6" si="12">AB6+1</f>
        <v>18</v>
      </c>
      <c r="AD6" s="43">
        <f t="shared" ref="AD6" si="13">AC6+1</f>
        <v>19</v>
      </c>
      <c r="AE6" s="43">
        <f t="shared" ref="AE6" si="14">AD6+1</f>
        <v>20</v>
      </c>
      <c r="AF6" s="231"/>
      <c r="AG6" s="231"/>
      <c r="AH6" s="231"/>
    </row>
    <row r="7" spans="2:34" s="1" customFormat="1" ht="4.05" customHeight="1" x14ac:dyDescent="0.4">
      <c r="B7" s="39"/>
      <c r="C7" s="8"/>
      <c r="D7" s="8"/>
      <c r="E7" s="8"/>
      <c r="F7" s="8"/>
      <c r="G7" s="8"/>
      <c r="H7" s="8"/>
      <c r="I7" s="14"/>
      <c r="J7" s="13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</row>
    <row r="8" spans="2:34" s="1" customFormat="1" ht="12.75" customHeight="1" x14ac:dyDescent="0.4">
      <c r="B8" s="38" t="s">
        <v>19</v>
      </c>
      <c r="C8" s="32"/>
      <c r="D8" s="32"/>
      <c r="E8" s="33"/>
      <c r="F8" s="8"/>
      <c r="G8" s="8"/>
      <c r="H8" s="8"/>
      <c r="I8" s="14"/>
      <c r="J8" s="13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</row>
    <row r="9" spans="2:34" s="1" customFormat="1" ht="4.05" customHeight="1" x14ac:dyDescent="0.4">
      <c r="B9" s="39"/>
      <c r="C9" s="8"/>
      <c r="D9" s="8"/>
      <c r="E9" s="8"/>
      <c r="F9" s="8"/>
      <c r="G9" s="8"/>
      <c r="H9" s="8"/>
      <c r="I9" s="14"/>
      <c r="J9" s="13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</row>
    <row r="10" spans="2:34" s="1" customFormat="1" ht="12.75" customHeight="1" x14ac:dyDescent="0.4">
      <c r="B10" s="19" t="s">
        <v>19</v>
      </c>
      <c r="C10" s="19"/>
      <c r="D10" s="19"/>
      <c r="E10" s="19"/>
      <c r="F10" s="19"/>
      <c r="G10" s="19"/>
      <c r="I10" s="14"/>
      <c r="J10" s="13"/>
      <c r="K10" s="245" t="s">
        <v>40</v>
      </c>
      <c r="L10" s="245"/>
      <c r="M10" s="113"/>
      <c r="N10" s="9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2:34" s="1" customFormat="1" ht="12.75" customHeight="1" x14ac:dyDescent="0.4">
      <c r="B11" s="19"/>
      <c r="C11" s="5" t="s">
        <v>39</v>
      </c>
      <c r="D11" s="5"/>
      <c r="E11" s="5"/>
      <c r="F11" s="5"/>
      <c r="G11" s="5"/>
      <c r="I11" s="14"/>
      <c r="J11" s="13"/>
      <c r="K11" s="15">
        <f>'Project Costs &amp; Capital (UL)'!H15</f>
        <v>-2650000</v>
      </c>
      <c r="L11" s="15">
        <f>'Project Costs &amp; Capital (UL)'!I15</f>
        <v>0</v>
      </c>
      <c r="M11" s="94"/>
      <c r="N11" s="94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12"/>
      <c r="AG11" s="12"/>
      <c r="AH11" s="12"/>
    </row>
    <row r="12" spans="2:34" s="1" customFormat="1" ht="12.75" customHeight="1" x14ac:dyDescent="0.4">
      <c r="B12"/>
      <c r="C12" s="5" t="s">
        <v>25</v>
      </c>
      <c r="D12" s="5"/>
      <c r="E12" s="5"/>
      <c r="F12" s="48"/>
      <c r="G12" s="5"/>
      <c r="I12" s="14"/>
      <c r="J12" s="13"/>
      <c r="K12" s="16">
        <f>'Project Costs &amp; Capital (UL)'!H21</f>
        <v>0</v>
      </c>
      <c r="L12" s="16">
        <f>'Project Costs &amp; Capital (UL)'!I21</f>
        <v>-250000</v>
      </c>
      <c r="M12" s="96"/>
      <c r="N12" s="96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12"/>
      <c r="AG12" s="12"/>
      <c r="AH12" s="12"/>
    </row>
    <row r="13" spans="2:34" s="1" customFormat="1" ht="12.75" customHeight="1" x14ac:dyDescent="0.4">
      <c r="B13"/>
      <c r="C13" s="5" t="s">
        <v>30</v>
      </c>
      <c r="D13" s="5"/>
      <c r="E13" s="5"/>
      <c r="F13" s="5"/>
      <c r="G13" s="5"/>
      <c r="I13" s="14"/>
      <c r="J13" s="13"/>
      <c r="K13" s="16">
        <f>'Project Costs &amp; Capital (UL)'!H26</f>
        <v>0</v>
      </c>
      <c r="L13" s="16">
        <f>'Project Costs &amp; Capital (UL)'!I26</f>
        <v>0</v>
      </c>
      <c r="M13" s="96"/>
      <c r="N13" s="96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12"/>
      <c r="AG13" s="12"/>
      <c r="AH13" s="12"/>
    </row>
    <row r="14" spans="2:34" s="1" customFormat="1" ht="12.75" customHeight="1" x14ac:dyDescent="0.4">
      <c r="B14"/>
      <c r="C14" s="5" t="s">
        <v>32</v>
      </c>
      <c r="D14" s="5"/>
      <c r="E14" s="5"/>
      <c r="F14" s="48"/>
      <c r="G14" s="5"/>
      <c r="I14" s="14"/>
      <c r="J14" s="13"/>
      <c r="K14" s="80">
        <f>'Project Costs &amp; Capital (UL)'!H28</f>
        <v>0</v>
      </c>
      <c r="L14" s="80">
        <f>'Project Costs &amp; Capital (UL)'!I28</f>
        <v>0</v>
      </c>
      <c r="M14" s="98"/>
      <c r="N14" s="98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12"/>
      <c r="AG14" s="12"/>
      <c r="AH14" s="12"/>
    </row>
    <row r="15" spans="2:34" s="1" customFormat="1" ht="12.75" customHeight="1" x14ac:dyDescent="0.4">
      <c r="B15" s="19" t="s">
        <v>3</v>
      </c>
      <c r="C15" s="19"/>
      <c r="D15" s="19"/>
      <c r="E15" s="19"/>
      <c r="F15" s="19"/>
      <c r="G15" s="19"/>
      <c r="I15" s="14"/>
      <c r="J15" s="13"/>
      <c r="K15" s="20">
        <f>SUM(K11:K14)</f>
        <v>-2650000</v>
      </c>
      <c r="L15" s="20">
        <f t="shared" ref="L15" si="15">SUM(L11:L14)</f>
        <v>-250000</v>
      </c>
      <c r="M15" s="97"/>
      <c r="N15" s="97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12"/>
      <c r="AG15" s="12"/>
      <c r="AH15" s="12"/>
    </row>
    <row r="16" spans="2:34" s="1" customFormat="1" ht="8.1999999999999993" customHeight="1" thickBot="1" x14ac:dyDescent="0.45">
      <c r="B16" s="54"/>
      <c r="C16" s="55"/>
      <c r="D16" s="55"/>
      <c r="E16" s="55"/>
      <c r="F16" s="55"/>
      <c r="G16" s="55"/>
      <c r="H16" s="55"/>
      <c r="I16" s="56"/>
      <c r="J16" s="57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12"/>
      <c r="AG16" s="12"/>
      <c r="AH16" s="12"/>
    </row>
    <row r="17" spans="2:34" s="1" customFormat="1" ht="8.1999999999999993" customHeight="1" x14ac:dyDescent="0.4">
      <c r="B17" s="39"/>
      <c r="C17" s="8"/>
      <c r="D17" s="8"/>
      <c r="E17" s="8"/>
      <c r="F17" s="8"/>
      <c r="G17" s="8"/>
      <c r="H17" s="8"/>
      <c r="I17" s="14"/>
      <c r="J17" s="13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</row>
    <row r="18" spans="2:34" s="1" customFormat="1" ht="12.75" customHeight="1" x14ac:dyDescent="0.4">
      <c r="B18" s="38" t="s">
        <v>7</v>
      </c>
      <c r="C18" s="32"/>
      <c r="D18" s="32"/>
      <c r="E18" s="33"/>
      <c r="F18" s="8"/>
      <c r="G18" s="8"/>
      <c r="H18" s="8"/>
      <c r="I18" s="14"/>
      <c r="J18" s="13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</row>
    <row r="20" spans="2:34" ht="12.75" customHeight="1" x14ac:dyDescent="0.4">
      <c r="C20" s="5" t="s">
        <v>5</v>
      </c>
      <c r="D20" s="5"/>
      <c r="E20" s="5"/>
      <c r="F20" s="5"/>
      <c r="G20" s="5"/>
      <c r="H20" s="5"/>
      <c r="I20" s="5"/>
      <c r="J20" s="5"/>
      <c r="K20" s="23">
        <f>'Net Operating Income'!M14</f>
        <v>0</v>
      </c>
      <c r="L20" s="22">
        <f>'Net Operating Income'!N14</f>
        <v>0</v>
      </c>
      <c r="M20" s="22">
        <f>'Net Operating Income'!O14</f>
        <v>250000</v>
      </c>
      <c r="N20" s="22">
        <f>'Net Operating Income'!P14</f>
        <v>250000</v>
      </c>
      <c r="O20" s="22">
        <f>'Net Operating Income'!Q14</f>
        <v>250000</v>
      </c>
      <c r="P20" s="22">
        <f>'Net Operating Income'!R14</f>
        <v>250000</v>
      </c>
      <c r="Q20" s="22">
        <f>'Net Operating Income'!S14</f>
        <v>250000</v>
      </c>
      <c r="R20" s="22">
        <f>'Net Operating Income'!T14</f>
        <v>275000</v>
      </c>
      <c r="S20" s="22">
        <f>'Net Operating Income'!U14</f>
        <v>275000</v>
      </c>
      <c r="T20" s="22">
        <f>'Net Operating Income'!V14</f>
        <v>275000</v>
      </c>
      <c r="U20" s="22">
        <f>'Net Operating Income'!W14</f>
        <v>275000</v>
      </c>
      <c r="V20" s="22">
        <f>'Net Operating Income'!X14</f>
        <v>275000</v>
      </c>
      <c r="W20" s="22">
        <f>'Net Operating Income'!Y14</f>
        <v>302500</v>
      </c>
      <c r="X20" s="22">
        <f>'Net Operating Income'!Z14</f>
        <v>302500</v>
      </c>
      <c r="Y20" s="22">
        <f>'Net Operating Income'!AA14</f>
        <v>302500</v>
      </c>
      <c r="Z20" s="22">
        <f>'Net Operating Income'!AB14</f>
        <v>302500</v>
      </c>
      <c r="AA20" s="22">
        <f>'Net Operating Income'!AC14</f>
        <v>302500</v>
      </c>
      <c r="AB20" s="22">
        <f>'Net Operating Income'!AD14</f>
        <v>332750</v>
      </c>
      <c r="AC20" s="22">
        <f>'Net Operating Income'!AE14</f>
        <v>332750</v>
      </c>
      <c r="AD20" s="22">
        <f>'Net Operating Income'!AF14</f>
        <v>332750</v>
      </c>
      <c r="AE20" s="22">
        <f>'Net Operating Income'!AG14</f>
        <v>332750</v>
      </c>
      <c r="AF20" s="22"/>
      <c r="AG20" s="22"/>
      <c r="AH20" s="22"/>
    </row>
    <row r="21" spans="2:34" ht="4.05" customHeight="1" x14ac:dyDescent="0.4">
      <c r="C21" s="5"/>
      <c r="D21" s="5"/>
      <c r="E21" s="5"/>
      <c r="F21" s="5"/>
      <c r="G21" s="5"/>
      <c r="H21" s="5"/>
      <c r="I21" s="5"/>
      <c r="J21" s="5"/>
      <c r="K21" s="23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</row>
    <row r="22" spans="2:34" ht="12.75" customHeight="1" x14ac:dyDescent="0.4">
      <c r="C22" s="5"/>
      <c r="D22" s="5" t="s">
        <v>2</v>
      </c>
      <c r="E22" s="5" t="s">
        <v>51</v>
      </c>
      <c r="F22" s="114"/>
      <c r="G22" s="5"/>
      <c r="H22" s="5"/>
      <c r="I22" s="5"/>
      <c r="J22" s="5"/>
      <c r="K22" s="107">
        <f>'Net Operating Income'!M19</f>
        <v>0</v>
      </c>
      <c r="L22" s="80">
        <f>'Net Operating Income'!N19</f>
        <v>0</v>
      </c>
      <c r="M22" s="80">
        <f>'Net Operating Income'!O19</f>
        <v>0</v>
      </c>
      <c r="N22" s="80">
        <f>'Net Operating Income'!P19</f>
        <v>0</v>
      </c>
      <c r="O22" s="80">
        <f>'Net Operating Income'!Q19</f>
        <v>0</v>
      </c>
      <c r="P22" s="80">
        <f>'Net Operating Income'!R19</f>
        <v>0</v>
      </c>
      <c r="Q22" s="80">
        <f>'Net Operating Income'!S19</f>
        <v>0</v>
      </c>
      <c r="R22" s="80">
        <f>'Net Operating Income'!T19</f>
        <v>0</v>
      </c>
      <c r="S22" s="80">
        <f>'Net Operating Income'!U19</f>
        <v>0</v>
      </c>
      <c r="T22" s="80">
        <f>'Net Operating Income'!V19</f>
        <v>0</v>
      </c>
      <c r="U22" s="80">
        <f>'Net Operating Income'!W19</f>
        <v>0</v>
      </c>
      <c r="V22" s="80">
        <f>'Net Operating Income'!X19</f>
        <v>0</v>
      </c>
      <c r="W22" s="80">
        <f>'Net Operating Income'!Y19</f>
        <v>0</v>
      </c>
      <c r="X22" s="80">
        <f>'Net Operating Income'!Z19</f>
        <v>0</v>
      </c>
      <c r="Y22" s="80">
        <f>'Net Operating Income'!AA19</f>
        <v>0</v>
      </c>
      <c r="Z22" s="80">
        <f>'Net Operating Income'!AB19</f>
        <v>0</v>
      </c>
      <c r="AA22" s="80">
        <f>'Net Operating Income'!AC19</f>
        <v>0</v>
      </c>
      <c r="AB22" s="80">
        <f>'Net Operating Income'!AD19</f>
        <v>0</v>
      </c>
      <c r="AC22" s="80">
        <f>'Net Operating Income'!AE19</f>
        <v>0</v>
      </c>
      <c r="AD22" s="80">
        <f>'Net Operating Income'!AF19</f>
        <v>0</v>
      </c>
      <c r="AE22" s="80">
        <f>'Net Operating Income'!AG19</f>
        <v>0</v>
      </c>
      <c r="AF22" s="232"/>
      <c r="AG22" s="232"/>
      <c r="AH22" s="232"/>
    </row>
    <row r="23" spans="2:34" ht="4.05" customHeight="1" x14ac:dyDescent="0.4">
      <c r="C23" s="5"/>
      <c r="D23" s="5"/>
      <c r="E23" s="5"/>
      <c r="F23" s="114"/>
      <c r="G23" s="5"/>
      <c r="H23" s="5"/>
      <c r="I23" s="5"/>
      <c r="J23" s="5"/>
      <c r="K23" s="18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232"/>
      <c r="AG23" s="232"/>
      <c r="AH23" s="232"/>
    </row>
    <row r="24" spans="2:34" s="35" customFormat="1" ht="12.75" customHeight="1" x14ac:dyDescent="0.4">
      <c r="C24" s="5" t="s">
        <v>53</v>
      </c>
      <c r="D24" s="5"/>
      <c r="E24" s="5"/>
      <c r="F24" s="5"/>
      <c r="G24" s="5"/>
      <c r="H24" s="5"/>
      <c r="I24" s="5"/>
      <c r="J24" s="5"/>
      <c r="K24" s="23">
        <f>SUM(K20:K22)</f>
        <v>0</v>
      </c>
      <c r="L24" s="22">
        <f t="shared" ref="L24:V24" si="16">SUM(L20:L22)</f>
        <v>0</v>
      </c>
      <c r="M24" s="22">
        <f t="shared" si="16"/>
        <v>250000</v>
      </c>
      <c r="N24" s="22">
        <f t="shared" si="16"/>
        <v>250000</v>
      </c>
      <c r="O24" s="22">
        <f t="shared" si="16"/>
        <v>250000</v>
      </c>
      <c r="P24" s="22">
        <f t="shared" si="16"/>
        <v>250000</v>
      </c>
      <c r="Q24" s="22">
        <f t="shared" si="16"/>
        <v>250000</v>
      </c>
      <c r="R24" s="22">
        <f t="shared" si="16"/>
        <v>275000</v>
      </c>
      <c r="S24" s="22">
        <f t="shared" si="16"/>
        <v>275000</v>
      </c>
      <c r="T24" s="22">
        <f t="shared" si="16"/>
        <v>275000</v>
      </c>
      <c r="U24" s="22">
        <f t="shared" si="16"/>
        <v>275000</v>
      </c>
      <c r="V24" s="22">
        <f t="shared" si="16"/>
        <v>275000</v>
      </c>
      <c r="W24" s="22">
        <f t="shared" ref="W24:AE24" si="17">SUM(W20:W22)</f>
        <v>302500</v>
      </c>
      <c r="X24" s="22">
        <f t="shared" si="17"/>
        <v>302500</v>
      </c>
      <c r="Y24" s="22">
        <f t="shared" si="17"/>
        <v>302500</v>
      </c>
      <c r="Z24" s="22">
        <f t="shared" si="17"/>
        <v>302500</v>
      </c>
      <c r="AA24" s="22">
        <f t="shared" si="17"/>
        <v>302500</v>
      </c>
      <c r="AB24" s="22">
        <f t="shared" si="17"/>
        <v>332750</v>
      </c>
      <c r="AC24" s="22">
        <f t="shared" si="17"/>
        <v>332750</v>
      </c>
      <c r="AD24" s="22">
        <f t="shared" si="17"/>
        <v>332750</v>
      </c>
      <c r="AE24" s="22">
        <f t="shared" si="17"/>
        <v>332750</v>
      </c>
      <c r="AF24" s="22"/>
      <c r="AG24" s="22"/>
      <c r="AH24" s="22"/>
    </row>
    <row r="25" spans="2:34" s="35" customFormat="1" ht="4.05" customHeight="1" x14ac:dyDescent="0.4">
      <c r="C25" s="5"/>
      <c r="D25" s="5"/>
      <c r="E25" s="5"/>
      <c r="F25" s="5"/>
      <c r="G25" s="5"/>
      <c r="H25" s="5"/>
      <c r="I25" s="5"/>
      <c r="J25" s="5"/>
      <c r="K25" s="23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</row>
    <row r="26" spans="2:34" s="35" customFormat="1" ht="12.75" customHeight="1" x14ac:dyDescent="0.4">
      <c r="C26" s="19"/>
      <c r="D26" s="5" t="s">
        <v>2</v>
      </c>
      <c r="E26" s="5" t="s">
        <v>54</v>
      </c>
      <c r="F26" s="19"/>
      <c r="G26" s="19"/>
      <c r="H26" s="19"/>
      <c r="I26" s="19"/>
      <c r="J26" s="19"/>
      <c r="K26" s="107">
        <f>'Net Operating Income'!M26</f>
        <v>0</v>
      </c>
      <c r="L26" s="80">
        <f>'Net Operating Income'!N26</f>
        <v>0</v>
      </c>
      <c r="M26" s="80">
        <f>'Net Operating Income'!O26</f>
        <v>-5000</v>
      </c>
      <c r="N26" s="80">
        <f>'Net Operating Income'!P26</f>
        <v>-5150</v>
      </c>
      <c r="O26" s="80">
        <f>'Net Operating Income'!Q26</f>
        <v>-5304.5</v>
      </c>
      <c r="P26" s="80">
        <f>'Net Operating Income'!R26</f>
        <v>-5463.6350000000002</v>
      </c>
      <c r="Q26" s="80">
        <f>'Net Operating Income'!S26</f>
        <v>-5627.5440500000004</v>
      </c>
      <c r="R26" s="80">
        <f>'Net Operating Income'!T26</f>
        <v>-5796.3703715000001</v>
      </c>
      <c r="S26" s="80">
        <f>'Net Operating Income'!U26</f>
        <v>-5970.2614826449999</v>
      </c>
      <c r="T26" s="80">
        <f>'Net Operating Income'!V26</f>
        <v>-6149.3693271243501</v>
      </c>
      <c r="U26" s="80">
        <f>'Net Operating Income'!W26</f>
        <v>-6333.8504069380806</v>
      </c>
      <c r="V26" s="80">
        <f>'Net Operating Income'!X26</f>
        <v>-6523.865919146223</v>
      </c>
      <c r="W26" s="80">
        <f>'Net Operating Income'!Y26</f>
        <v>-6719.5818967206096</v>
      </c>
      <c r="X26" s="80">
        <f>'Net Operating Income'!Z26</f>
        <v>-6921.1693536222283</v>
      </c>
      <c r="Y26" s="80">
        <f>'Net Operating Income'!AA26</f>
        <v>-7128.8044342308949</v>
      </c>
      <c r="Z26" s="80">
        <f>'Net Operating Income'!AB26</f>
        <v>-7342.6685672578224</v>
      </c>
      <c r="AA26" s="80">
        <f>'Net Operating Income'!AC26</f>
        <v>-7562.9486242755574</v>
      </c>
      <c r="AB26" s="80">
        <f>'Net Operating Income'!AD26</f>
        <v>-7789.8370830038248</v>
      </c>
      <c r="AC26" s="80">
        <f>'Net Operating Income'!AE26</f>
        <v>-8023.53219549394</v>
      </c>
      <c r="AD26" s="80">
        <f>'Net Operating Income'!AF26</f>
        <v>-8264.2381613587586</v>
      </c>
      <c r="AE26" s="80">
        <f>'Net Operating Income'!AG26</f>
        <v>-8512.1653061995221</v>
      </c>
      <c r="AF26" s="232"/>
      <c r="AG26" s="232"/>
      <c r="AH26" s="232"/>
    </row>
    <row r="27" spans="2:34" s="35" customFormat="1" ht="4.05" customHeight="1" x14ac:dyDescent="0.4">
      <c r="C27" s="19"/>
      <c r="D27" s="5"/>
      <c r="E27" s="5"/>
      <c r="F27" s="19"/>
      <c r="G27" s="19"/>
      <c r="H27" s="19"/>
      <c r="I27" s="19"/>
      <c r="J27" s="19"/>
      <c r="K27" s="18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232"/>
      <c r="AG27" s="232"/>
      <c r="AH27" s="232"/>
    </row>
    <row r="28" spans="2:34" s="35" customFormat="1" ht="12.75" customHeight="1" thickBot="1" x14ac:dyDescent="0.45">
      <c r="C28" s="145" t="s">
        <v>7</v>
      </c>
      <c r="D28" s="145"/>
      <c r="E28" s="145"/>
      <c r="F28" s="145"/>
      <c r="G28" s="145"/>
      <c r="H28" s="145"/>
      <c r="I28" s="145"/>
      <c r="J28" s="145"/>
      <c r="K28" s="146">
        <f>SUM(K24:K26)</f>
        <v>0</v>
      </c>
      <c r="L28" s="147">
        <f t="shared" ref="L28:V28" si="18">SUM(L24:L26)</f>
        <v>0</v>
      </c>
      <c r="M28" s="147">
        <f t="shared" si="18"/>
        <v>245000</v>
      </c>
      <c r="N28" s="147">
        <f t="shared" si="18"/>
        <v>244850</v>
      </c>
      <c r="O28" s="147">
        <f t="shared" si="18"/>
        <v>244695.5</v>
      </c>
      <c r="P28" s="147">
        <f t="shared" si="18"/>
        <v>244536.36499999999</v>
      </c>
      <c r="Q28" s="147">
        <f t="shared" si="18"/>
        <v>244372.45595</v>
      </c>
      <c r="R28" s="147">
        <f t="shared" si="18"/>
        <v>269203.62962850003</v>
      </c>
      <c r="S28" s="147">
        <f t="shared" si="18"/>
        <v>269029.738517355</v>
      </c>
      <c r="T28" s="147">
        <f t="shared" si="18"/>
        <v>268850.63067287568</v>
      </c>
      <c r="U28" s="147">
        <f t="shared" si="18"/>
        <v>268666.14959306194</v>
      </c>
      <c r="V28" s="147">
        <f t="shared" si="18"/>
        <v>268476.13408085378</v>
      </c>
      <c r="W28" s="147">
        <f t="shared" ref="W28:AE28" si="19">SUM(W24:W26)</f>
        <v>295780.41810327937</v>
      </c>
      <c r="X28" s="147">
        <f t="shared" si="19"/>
        <v>295578.83064637776</v>
      </c>
      <c r="Y28" s="147">
        <f t="shared" si="19"/>
        <v>295371.1955657691</v>
      </c>
      <c r="Z28" s="147">
        <f t="shared" si="19"/>
        <v>295157.33143274218</v>
      </c>
      <c r="AA28" s="147">
        <f t="shared" si="19"/>
        <v>294937.05137572443</v>
      </c>
      <c r="AB28" s="147">
        <f t="shared" si="19"/>
        <v>324960.16291699617</v>
      </c>
      <c r="AC28" s="147">
        <f t="shared" si="19"/>
        <v>324726.46780450607</v>
      </c>
      <c r="AD28" s="147">
        <f t="shared" si="19"/>
        <v>324485.76183864125</v>
      </c>
      <c r="AE28" s="147">
        <f t="shared" si="19"/>
        <v>324237.83469380048</v>
      </c>
      <c r="AF28" s="233"/>
      <c r="AG28" s="233"/>
      <c r="AH28" s="233"/>
    </row>
    <row r="29" spans="2:34" s="35" customFormat="1" ht="4.05" customHeight="1" thickTop="1" x14ac:dyDescent="0.4">
      <c r="C29" s="19"/>
      <c r="D29" s="19"/>
      <c r="E29" s="19"/>
      <c r="F29" s="19"/>
      <c r="G29" s="19"/>
      <c r="H29" s="19"/>
      <c r="I29" s="19"/>
      <c r="J29" s="19"/>
      <c r="K29" s="115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233"/>
      <c r="AG29" s="233"/>
      <c r="AH29" s="233"/>
    </row>
    <row r="30" spans="2:34" s="35" customFormat="1" ht="12.75" hidden="1" customHeight="1" outlineLevel="2" x14ac:dyDescent="0.4">
      <c r="C30" s="19"/>
      <c r="D30" s="5" t="s">
        <v>2</v>
      </c>
      <c r="E30" s="5" t="s">
        <v>76</v>
      </c>
      <c r="F30" s="19"/>
      <c r="G30" s="19"/>
      <c r="H30" s="19"/>
      <c r="I30" s="19"/>
      <c r="J30" s="19"/>
      <c r="K30" s="107" t="e">
        <f>'Net Operating Income'!M34</f>
        <v>#REF!</v>
      </c>
      <c r="L30" s="127" t="e">
        <f>'Net Operating Income'!N34</f>
        <v>#REF!</v>
      </c>
      <c r="M30" s="80" t="e">
        <f>'Net Operating Income'!O34</f>
        <v>#REF!</v>
      </c>
      <c r="N30" s="80" t="e">
        <f>'Net Operating Income'!P34</f>
        <v>#REF!</v>
      </c>
      <c r="O30" s="80" t="e">
        <f>'Net Operating Income'!Q34</f>
        <v>#REF!</v>
      </c>
      <c r="P30" s="80" t="e">
        <f>'Net Operating Income'!R34</f>
        <v>#REF!</v>
      </c>
      <c r="Q30" s="80" t="e">
        <f>'Net Operating Income'!S34</f>
        <v>#REF!</v>
      </c>
      <c r="R30" s="80" t="e">
        <f>'Net Operating Income'!T34</f>
        <v>#REF!</v>
      </c>
      <c r="S30" s="80" t="e">
        <f>'Net Operating Income'!U34</f>
        <v>#REF!</v>
      </c>
      <c r="T30" s="80" t="e">
        <f>'Net Operating Income'!V34</f>
        <v>#REF!</v>
      </c>
      <c r="U30" s="80" t="e">
        <f>'Net Operating Income'!W34</f>
        <v>#REF!</v>
      </c>
      <c r="V30" s="80" t="e">
        <f>'Net Operating Income'!X34</f>
        <v>#REF!</v>
      </c>
      <c r="W30" s="80" t="e">
        <f>'Net Operating Income'!Y34</f>
        <v>#REF!</v>
      </c>
      <c r="X30" s="80" t="e">
        <f>'Net Operating Income'!Z34</f>
        <v>#REF!</v>
      </c>
      <c r="Y30" s="80" t="e">
        <f>'Net Operating Income'!AA34</f>
        <v>#REF!</v>
      </c>
      <c r="Z30" s="80" t="e">
        <f>'Net Operating Income'!AB34</f>
        <v>#REF!</v>
      </c>
      <c r="AA30" s="80" t="e">
        <f>'Net Operating Income'!AC34</f>
        <v>#REF!</v>
      </c>
      <c r="AB30" s="80" t="e">
        <f>'Net Operating Income'!AD34</f>
        <v>#REF!</v>
      </c>
      <c r="AC30" s="80" t="e">
        <f>'Net Operating Income'!AE34</f>
        <v>#REF!</v>
      </c>
      <c r="AD30" s="80" t="e">
        <f>'Net Operating Income'!AF34</f>
        <v>#REF!</v>
      </c>
      <c r="AE30" s="80" t="e">
        <f>'Net Operating Income'!AG34</f>
        <v>#REF!</v>
      </c>
      <c r="AF30" s="232"/>
      <c r="AG30" s="232"/>
      <c r="AH30" s="232"/>
    </row>
    <row r="31" spans="2:34" s="35" customFormat="1" ht="4.05" hidden="1" customHeight="1" outlineLevel="2" x14ac:dyDescent="0.4">
      <c r="C31" s="19"/>
      <c r="D31" s="19"/>
      <c r="E31" s="19"/>
      <c r="F31" s="19"/>
      <c r="G31" s="19"/>
      <c r="H31" s="19"/>
      <c r="I31" s="19"/>
      <c r="J31" s="19"/>
      <c r="K31" s="115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233"/>
      <c r="AG31" s="233"/>
      <c r="AH31" s="233"/>
    </row>
    <row r="32" spans="2:34" s="35" customFormat="1" ht="12.75" hidden="1" customHeight="1" outlineLevel="2" x14ac:dyDescent="0.4">
      <c r="C32" s="19" t="s">
        <v>75</v>
      </c>
      <c r="D32" s="19"/>
      <c r="E32" s="19"/>
      <c r="F32" s="19"/>
      <c r="G32" s="19"/>
      <c r="H32" s="19"/>
      <c r="I32" s="19"/>
      <c r="J32" s="19"/>
      <c r="K32" s="115" t="e">
        <f>K28+K30</f>
        <v>#REF!</v>
      </c>
      <c r="L32" s="64" t="e">
        <f t="shared" ref="L32:V32" si="20">L28+L30</f>
        <v>#REF!</v>
      </c>
      <c r="M32" s="64" t="e">
        <f t="shared" si="20"/>
        <v>#REF!</v>
      </c>
      <c r="N32" s="64" t="e">
        <f t="shared" si="20"/>
        <v>#REF!</v>
      </c>
      <c r="O32" s="64" t="e">
        <f t="shared" si="20"/>
        <v>#REF!</v>
      </c>
      <c r="P32" s="64" t="e">
        <f t="shared" si="20"/>
        <v>#REF!</v>
      </c>
      <c r="Q32" s="64" t="e">
        <f t="shared" si="20"/>
        <v>#REF!</v>
      </c>
      <c r="R32" s="64" t="e">
        <f t="shared" si="20"/>
        <v>#REF!</v>
      </c>
      <c r="S32" s="64" t="e">
        <f t="shared" si="20"/>
        <v>#REF!</v>
      </c>
      <c r="T32" s="64" t="e">
        <f t="shared" si="20"/>
        <v>#REF!</v>
      </c>
      <c r="U32" s="64" t="e">
        <f t="shared" si="20"/>
        <v>#REF!</v>
      </c>
      <c r="V32" s="64" t="e">
        <f t="shared" si="20"/>
        <v>#REF!</v>
      </c>
      <c r="W32" s="64" t="e">
        <f t="shared" ref="W32:AE32" si="21">W28+W30</f>
        <v>#REF!</v>
      </c>
      <c r="X32" s="64" t="e">
        <f t="shared" si="21"/>
        <v>#REF!</v>
      </c>
      <c r="Y32" s="64" t="e">
        <f t="shared" si="21"/>
        <v>#REF!</v>
      </c>
      <c r="Z32" s="64" t="e">
        <f t="shared" si="21"/>
        <v>#REF!</v>
      </c>
      <c r="AA32" s="64" t="e">
        <f t="shared" si="21"/>
        <v>#REF!</v>
      </c>
      <c r="AB32" s="64" t="e">
        <f t="shared" si="21"/>
        <v>#REF!</v>
      </c>
      <c r="AC32" s="64" t="e">
        <f t="shared" si="21"/>
        <v>#REF!</v>
      </c>
      <c r="AD32" s="64" t="e">
        <f t="shared" si="21"/>
        <v>#REF!</v>
      </c>
      <c r="AE32" s="64" t="e">
        <f t="shared" si="21"/>
        <v>#REF!</v>
      </c>
      <c r="AF32" s="233"/>
      <c r="AG32" s="233"/>
      <c r="AH32" s="233"/>
    </row>
    <row r="33" spans="2:34" s="35" customFormat="1" ht="12.75" customHeight="1" collapsed="1" x14ac:dyDescent="0.4">
      <c r="C33" s="19"/>
      <c r="D33" s="19"/>
      <c r="E33" s="19"/>
      <c r="F33" s="19"/>
      <c r="G33" s="19"/>
      <c r="H33" s="19"/>
      <c r="I33" s="19"/>
      <c r="J33" s="19"/>
      <c r="K33" s="115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233"/>
      <c r="AG33" s="233"/>
      <c r="AH33" s="233"/>
    </row>
    <row r="34" spans="2:34" ht="8.1999999999999993" customHeight="1" thickBot="1" x14ac:dyDescent="0.45">
      <c r="B34" s="25"/>
      <c r="C34" s="25"/>
      <c r="D34" s="25"/>
      <c r="E34" s="25"/>
      <c r="F34" s="25"/>
      <c r="G34" s="25"/>
      <c r="H34" s="25"/>
      <c r="I34" s="25"/>
      <c r="J34" s="25"/>
      <c r="K34" s="36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22"/>
      <c r="AG34" s="22"/>
      <c r="AH34" s="22"/>
    </row>
    <row r="35" spans="2:34" ht="8.1999999999999993" customHeight="1" x14ac:dyDescent="0.4">
      <c r="C35" s="5"/>
      <c r="D35" s="5"/>
      <c r="E35" s="5"/>
      <c r="F35" s="5"/>
      <c r="G35" s="5"/>
      <c r="H35" s="5"/>
      <c r="I35" s="5"/>
      <c r="J35" s="5"/>
      <c r="K35" s="7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</row>
    <row r="36" spans="2:34" ht="12.75" customHeight="1" x14ac:dyDescent="0.4">
      <c r="B36" s="38" t="s">
        <v>66</v>
      </c>
      <c r="C36" s="32"/>
      <c r="D36" s="32"/>
      <c r="E36" s="33"/>
      <c r="F36" s="5"/>
      <c r="G36" s="5"/>
      <c r="H36" s="5"/>
      <c r="I36" s="5"/>
      <c r="J36" s="5"/>
      <c r="K36" s="7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</row>
    <row r="37" spans="2:34" ht="4.05" customHeight="1" x14ac:dyDescent="0.4">
      <c r="C37" s="5"/>
      <c r="D37" s="5"/>
      <c r="E37" s="5"/>
      <c r="F37" s="5"/>
      <c r="G37" s="5"/>
      <c r="H37" s="5"/>
      <c r="I37" s="5"/>
      <c r="J37" s="5"/>
      <c r="K37" s="7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</row>
    <row r="38" spans="2:34" ht="12.75" customHeight="1" x14ac:dyDescent="0.4">
      <c r="C38" s="19" t="s">
        <v>65</v>
      </c>
      <c r="E38" s="5"/>
      <c r="F38" s="67"/>
      <c r="G38" s="5"/>
      <c r="H38" s="5"/>
      <c r="I38" s="5"/>
      <c r="J38" s="5"/>
      <c r="K38" s="47">
        <f>K15+K28</f>
        <v>-2650000</v>
      </c>
      <c r="L38" s="20">
        <f>L15+L28</f>
        <v>-250000</v>
      </c>
      <c r="M38" s="20">
        <f t="shared" ref="M38:V38" si="22">M15+M28</f>
        <v>245000</v>
      </c>
      <c r="N38" s="20">
        <f t="shared" si="22"/>
        <v>244850</v>
      </c>
      <c r="O38" s="20">
        <f t="shared" si="22"/>
        <v>244695.5</v>
      </c>
      <c r="P38" s="20">
        <f t="shared" si="22"/>
        <v>244536.36499999999</v>
      </c>
      <c r="Q38" s="20">
        <f t="shared" si="22"/>
        <v>244372.45595</v>
      </c>
      <c r="R38" s="20">
        <f t="shared" si="22"/>
        <v>269203.62962850003</v>
      </c>
      <c r="S38" s="20">
        <f t="shared" si="22"/>
        <v>269029.738517355</v>
      </c>
      <c r="T38" s="20">
        <f t="shared" si="22"/>
        <v>268850.63067287568</v>
      </c>
      <c r="U38" s="20">
        <f t="shared" si="22"/>
        <v>268666.14959306194</v>
      </c>
      <c r="V38" s="20">
        <f t="shared" si="22"/>
        <v>268476.13408085378</v>
      </c>
      <c r="W38" s="20">
        <f t="shared" ref="W38:AE38" si="23">W15+W28</f>
        <v>295780.41810327937</v>
      </c>
      <c r="X38" s="20">
        <f t="shared" si="23"/>
        <v>295578.83064637776</v>
      </c>
      <c r="Y38" s="20">
        <f t="shared" si="23"/>
        <v>295371.1955657691</v>
      </c>
      <c r="Z38" s="20">
        <f t="shared" si="23"/>
        <v>295157.33143274218</v>
      </c>
      <c r="AA38" s="20">
        <f t="shared" si="23"/>
        <v>294937.05137572443</v>
      </c>
      <c r="AB38" s="20">
        <f t="shared" si="23"/>
        <v>324960.16291699617</v>
      </c>
      <c r="AC38" s="20">
        <f t="shared" si="23"/>
        <v>324726.46780450607</v>
      </c>
      <c r="AD38" s="20">
        <f t="shared" si="23"/>
        <v>324485.76183864125</v>
      </c>
      <c r="AE38" s="20">
        <f t="shared" si="23"/>
        <v>324237.83469380048</v>
      </c>
      <c r="AF38" s="20"/>
      <c r="AG38" s="20"/>
      <c r="AH38" s="20"/>
    </row>
    <row r="39" spans="2:34" s="59" customFormat="1" ht="12.75" customHeight="1" x14ac:dyDescent="0.4">
      <c r="C39" s="34"/>
      <c r="D39" s="34"/>
      <c r="E39" s="34"/>
      <c r="F39" s="34"/>
      <c r="G39" s="34"/>
      <c r="H39" s="34"/>
      <c r="I39" s="34"/>
      <c r="J39" s="34"/>
      <c r="K39" s="24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234"/>
      <c r="AG39" s="234"/>
      <c r="AH39" s="234"/>
    </row>
    <row r="40" spans="2:34" s="59" customFormat="1" ht="12.75" customHeight="1" x14ac:dyDescent="0.4">
      <c r="C40" s="19" t="s">
        <v>63</v>
      </c>
      <c r="D40" s="34"/>
      <c r="E40" s="34"/>
      <c r="F40" s="34"/>
      <c r="G40" s="34"/>
      <c r="H40" s="34"/>
      <c r="I40" s="53">
        <v>10</v>
      </c>
      <c r="J40" s="34"/>
      <c r="K40" s="24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234"/>
      <c r="AG40" s="234"/>
      <c r="AH40" s="234"/>
    </row>
    <row r="41" spans="2:34" s="59" customFormat="1" ht="12.75" customHeight="1" x14ac:dyDescent="0.4">
      <c r="C41" s="19" t="s">
        <v>10</v>
      </c>
      <c r="D41" s="5"/>
      <c r="E41" s="34"/>
      <c r="F41" s="34"/>
      <c r="G41" s="34"/>
      <c r="H41" s="34"/>
      <c r="I41" s="48">
        <v>0.05</v>
      </c>
      <c r="J41" s="34"/>
      <c r="K41" s="29">
        <f t="shared" ref="K41" si="24">IF(K6=$I$40,K38/$I$41,0)</f>
        <v>0</v>
      </c>
      <c r="L41" s="30">
        <f>IF(L6=$I$40,L28/$I$41,0)</f>
        <v>0</v>
      </c>
      <c r="M41" s="30">
        <f t="shared" ref="M41:S41" si="25">IF(M6=$I$40,M28/$I$41,0)</f>
        <v>0</v>
      </c>
      <c r="N41" s="30">
        <f t="shared" si="25"/>
        <v>0</v>
      </c>
      <c r="O41" s="30">
        <f t="shared" si="25"/>
        <v>0</v>
      </c>
      <c r="P41" s="30">
        <f t="shared" si="25"/>
        <v>0</v>
      </c>
      <c r="Q41" s="30">
        <f t="shared" si="25"/>
        <v>0</v>
      </c>
      <c r="R41" s="30">
        <f>IF(R6=$I$40,R28/$I$41,0)</f>
        <v>0</v>
      </c>
      <c r="S41" s="30">
        <f t="shared" si="25"/>
        <v>0</v>
      </c>
      <c r="T41" s="30">
        <f t="shared" ref="T41:V41" si="26">IF(T6=$I$40,T28/$I$41,0)</f>
        <v>0</v>
      </c>
      <c r="U41" s="30">
        <f t="shared" si="26"/>
        <v>5373322.9918612381</v>
      </c>
      <c r="V41" s="30">
        <f t="shared" si="26"/>
        <v>0</v>
      </c>
      <c r="W41" s="30">
        <f t="shared" ref="W41:AE41" si="27">IF(W6=$I$40,W28/$I$41,0)</f>
        <v>0</v>
      </c>
      <c r="X41" s="30">
        <f t="shared" si="27"/>
        <v>0</v>
      </c>
      <c r="Y41" s="30">
        <f t="shared" si="27"/>
        <v>0</v>
      </c>
      <c r="Z41" s="30">
        <f t="shared" si="27"/>
        <v>0</v>
      </c>
      <c r="AA41" s="30">
        <f t="shared" si="27"/>
        <v>0</v>
      </c>
      <c r="AB41" s="30">
        <f t="shared" si="27"/>
        <v>0</v>
      </c>
      <c r="AC41" s="30">
        <f t="shared" si="27"/>
        <v>0</v>
      </c>
      <c r="AD41" s="30">
        <f t="shared" si="27"/>
        <v>0</v>
      </c>
      <c r="AE41" s="30">
        <f t="shared" si="27"/>
        <v>0</v>
      </c>
      <c r="AF41" s="235"/>
      <c r="AG41" s="235"/>
      <c r="AH41" s="235"/>
    </row>
    <row r="42" spans="2:34" s="59" customFormat="1" ht="12.75" customHeight="1" x14ac:dyDescent="0.4">
      <c r="C42" s="34"/>
      <c r="D42" s="5" t="s">
        <v>11</v>
      </c>
      <c r="E42" s="5" t="s">
        <v>13</v>
      </c>
      <c r="F42" s="34"/>
      <c r="G42" s="34"/>
      <c r="H42" s="34"/>
      <c r="I42" s="48">
        <v>0.04</v>
      </c>
      <c r="J42" s="34"/>
      <c r="K42" s="104">
        <f>IF(K41&gt;0,K41*-$I$42,0)</f>
        <v>0</v>
      </c>
      <c r="L42" s="61">
        <f>IF(L41&gt;0,L41*-$I$42,0)</f>
        <v>0</v>
      </c>
      <c r="M42" s="61">
        <f t="shared" ref="M42:V42" si="28">IF(M41&gt;0,M41*-$I$42,0)</f>
        <v>0</v>
      </c>
      <c r="N42" s="61">
        <f t="shared" si="28"/>
        <v>0</v>
      </c>
      <c r="O42" s="61">
        <f t="shared" si="28"/>
        <v>0</v>
      </c>
      <c r="P42" s="61">
        <f t="shared" si="28"/>
        <v>0</v>
      </c>
      <c r="Q42" s="61">
        <f t="shared" si="28"/>
        <v>0</v>
      </c>
      <c r="R42" s="61">
        <f t="shared" si="28"/>
        <v>0</v>
      </c>
      <c r="S42" s="61">
        <f t="shared" si="28"/>
        <v>0</v>
      </c>
      <c r="T42" s="61">
        <f t="shared" si="28"/>
        <v>0</v>
      </c>
      <c r="U42" s="61">
        <f t="shared" si="28"/>
        <v>-214932.91967444954</v>
      </c>
      <c r="V42" s="61">
        <f t="shared" si="28"/>
        <v>0</v>
      </c>
      <c r="W42" s="61">
        <f t="shared" ref="W42:AE42" si="29">IF(W41&gt;0,W41*-$I$42,0)</f>
        <v>0</v>
      </c>
      <c r="X42" s="61">
        <f t="shared" si="29"/>
        <v>0</v>
      </c>
      <c r="Y42" s="61">
        <f t="shared" si="29"/>
        <v>0</v>
      </c>
      <c r="Z42" s="61">
        <f t="shared" si="29"/>
        <v>0</v>
      </c>
      <c r="AA42" s="61">
        <f t="shared" si="29"/>
        <v>0</v>
      </c>
      <c r="AB42" s="61">
        <f t="shared" si="29"/>
        <v>0</v>
      </c>
      <c r="AC42" s="61">
        <f t="shared" si="29"/>
        <v>0</v>
      </c>
      <c r="AD42" s="61">
        <f t="shared" si="29"/>
        <v>0</v>
      </c>
      <c r="AE42" s="61">
        <f t="shared" si="29"/>
        <v>0</v>
      </c>
      <c r="AF42" s="232"/>
      <c r="AG42" s="232"/>
      <c r="AH42" s="232"/>
    </row>
    <row r="43" spans="2:34" s="59" customFormat="1" ht="12.75" customHeight="1" x14ac:dyDescent="0.4">
      <c r="C43" s="34"/>
      <c r="D43" s="5" t="s">
        <v>11</v>
      </c>
      <c r="E43" s="5" t="s">
        <v>12</v>
      </c>
      <c r="F43" s="34"/>
      <c r="G43" s="34"/>
      <c r="H43" s="34"/>
      <c r="I43" s="34"/>
      <c r="J43" s="34"/>
      <c r="K43" s="106">
        <v>0</v>
      </c>
      <c r="L43" s="62">
        <v>0</v>
      </c>
      <c r="M43" s="63">
        <v>0</v>
      </c>
      <c r="N43" s="63">
        <v>0</v>
      </c>
      <c r="O43" s="63">
        <v>0</v>
      </c>
      <c r="P43" s="63">
        <v>0</v>
      </c>
      <c r="Q43" s="63">
        <v>0</v>
      </c>
      <c r="R43" s="63">
        <v>0</v>
      </c>
      <c r="S43" s="63">
        <v>0</v>
      </c>
      <c r="T43" s="63">
        <v>0</v>
      </c>
      <c r="U43" s="63">
        <v>0</v>
      </c>
      <c r="V43" s="63">
        <v>0</v>
      </c>
      <c r="W43" s="63">
        <v>0</v>
      </c>
      <c r="X43" s="63">
        <v>0</v>
      </c>
      <c r="Y43" s="63">
        <v>0</v>
      </c>
      <c r="Z43" s="63">
        <v>0</v>
      </c>
      <c r="AA43" s="63">
        <v>0</v>
      </c>
      <c r="AB43" s="63">
        <v>0</v>
      </c>
      <c r="AC43" s="63">
        <v>0</v>
      </c>
      <c r="AD43" s="63">
        <v>0</v>
      </c>
      <c r="AE43" s="63">
        <v>0</v>
      </c>
      <c r="AF43" s="232"/>
      <c r="AG43" s="232"/>
      <c r="AH43" s="232"/>
    </row>
    <row r="44" spans="2:34" s="59" customFormat="1" ht="12.75" customHeight="1" x14ac:dyDescent="0.4">
      <c r="C44" s="19" t="s">
        <v>14</v>
      </c>
      <c r="D44" s="34"/>
      <c r="E44" s="34"/>
      <c r="F44" s="34"/>
      <c r="G44" s="34"/>
      <c r="H44" s="34"/>
      <c r="I44" s="34"/>
      <c r="J44" s="34"/>
      <c r="K44" s="29">
        <f>SUM(K41:K43)</f>
        <v>0</v>
      </c>
      <c r="L44" s="30">
        <f>SUM(L41:L43)</f>
        <v>0</v>
      </c>
      <c r="M44" s="30">
        <f t="shared" ref="M44:V44" si="30">SUM(M41:M43)</f>
        <v>0</v>
      </c>
      <c r="N44" s="30">
        <f t="shared" si="30"/>
        <v>0</v>
      </c>
      <c r="O44" s="30">
        <f t="shared" si="30"/>
        <v>0</v>
      </c>
      <c r="P44" s="30">
        <f t="shared" si="30"/>
        <v>0</v>
      </c>
      <c r="Q44" s="30">
        <f t="shared" si="30"/>
        <v>0</v>
      </c>
      <c r="R44" s="30">
        <f t="shared" si="30"/>
        <v>0</v>
      </c>
      <c r="S44" s="30">
        <f t="shared" si="30"/>
        <v>0</v>
      </c>
      <c r="T44" s="30">
        <f t="shared" si="30"/>
        <v>0</v>
      </c>
      <c r="U44" s="30">
        <f t="shared" si="30"/>
        <v>5158390.0721867885</v>
      </c>
      <c r="V44" s="30">
        <f t="shared" si="30"/>
        <v>0</v>
      </c>
      <c r="W44" s="30">
        <f t="shared" ref="W44:AE44" si="31">SUM(W41:W43)</f>
        <v>0</v>
      </c>
      <c r="X44" s="30">
        <f t="shared" si="31"/>
        <v>0</v>
      </c>
      <c r="Y44" s="30">
        <f t="shared" si="31"/>
        <v>0</v>
      </c>
      <c r="Z44" s="30">
        <f t="shared" si="31"/>
        <v>0</v>
      </c>
      <c r="AA44" s="30">
        <f t="shared" si="31"/>
        <v>0</v>
      </c>
      <c r="AB44" s="30">
        <f t="shared" si="31"/>
        <v>0</v>
      </c>
      <c r="AC44" s="30">
        <f t="shared" si="31"/>
        <v>0</v>
      </c>
      <c r="AD44" s="30">
        <f t="shared" si="31"/>
        <v>0</v>
      </c>
      <c r="AE44" s="30">
        <f t="shared" si="31"/>
        <v>0</v>
      </c>
      <c r="AF44" s="235"/>
      <c r="AG44" s="235"/>
      <c r="AH44" s="235"/>
    </row>
    <row r="45" spans="2:34" s="59" customFormat="1" ht="12.75" customHeight="1" x14ac:dyDescent="0.4">
      <c r="C45" s="19"/>
      <c r="D45" s="34"/>
      <c r="E45" s="34"/>
      <c r="F45" s="34"/>
      <c r="G45" s="34"/>
      <c r="H45" s="34"/>
      <c r="I45" s="34"/>
      <c r="J45" s="34"/>
      <c r="K45" s="24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235"/>
      <c r="AG45" s="235"/>
      <c r="AH45" s="235"/>
    </row>
    <row r="46" spans="2:34" s="59" customFormat="1" ht="12.75" customHeight="1" x14ac:dyDescent="0.4">
      <c r="C46" s="150" t="s">
        <v>64</v>
      </c>
      <c r="D46" s="151"/>
      <c r="E46" s="151"/>
      <c r="F46" s="151"/>
      <c r="G46" s="151"/>
      <c r="H46" s="151"/>
      <c r="I46" s="151"/>
      <c r="J46" s="151"/>
      <c r="K46" s="148">
        <f t="shared" ref="K46:V46" si="32">IF(K6&lt;=$I$40,K38+K44,"")</f>
        <v>-2650000</v>
      </c>
      <c r="L46" s="149">
        <f t="shared" si="32"/>
        <v>-250000</v>
      </c>
      <c r="M46" s="149">
        <f t="shared" si="32"/>
        <v>245000</v>
      </c>
      <c r="N46" s="149">
        <f t="shared" si="32"/>
        <v>244850</v>
      </c>
      <c r="O46" s="149">
        <f t="shared" si="32"/>
        <v>244695.5</v>
      </c>
      <c r="P46" s="149">
        <f t="shared" si="32"/>
        <v>244536.36499999999</v>
      </c>
      <c r="Q46" s="149">
        <f t="shared" si="32"/>
        <v>244372.45595</v>
      </c>
      <c r="R46" s="149">
        <f t="shared" si="32"/>
        <v>269203.62962850003</v>
      </c>
      <c r="S46" s="149">
        <f t="shared" si="32"/>
        <v>269029.738517355</v>
      </c>
      <c r="T46" s="149">
        <f t="shared" si="32"/>
        <v>268850.63067287568</v>
      </c>
      <c r="U46" s="149">
        <f t="shared" si="32"/>
        <v>5427056.2217798503</v>
      </c>
      <c r="V46" s="149" t="str">
        <f t="shared" si="32"/>
        <v/>
      </c>
      <c r="W46" s="149" t="str">
        <f t="shared" ref="W46:AE46" si="33">IF(W6&lt;=$I$40,W38+W44,"")</f>
        <v/>
      </c>
      <c r="X46" s="149" t="str">
        <f t="shared" si="33"/>
        <v/>
      </c>
      <c r="Y46" s="149" t="str">
        <f t="shared" si="33"/>
        <v/>
      </c>
      <c r="Z46" s="149" t="str">
        <f t="shared" si="33"/>
        <v/>
      </c>
      <c r="AA46" s="149" t="str">
        <f t="shared" si="33"/>
        <v/>
      </c>
      <c r="AB46" s="149" t="str">
        <f t="shared" si="33"/>
        <v/>
      </c>
      <c r="AC46" s="149" t="str">
        <f t="shared" si="33"/>
        <v/>
      </c>
      <c r="AD46" s="149" t="str">
        <f t="shared" si="33"/>
        <v/>
      </c>
      <c r="AE46" s="149" t="str">
        <f t="shared" si="33"/>
        <v/>
      </c>
      <c r="AF46" s="20"/>
      <c r="AG46" s="20"/>
      <c r="AH46" s="20"/>
    </row>
    <row r="47" spans="2:34" s="59" customFormat="1" ht="8.1999999999999993" customHeight="1" thickBot="1" x14ac:dyDescent="0.45">
      <c r="B47" s="25"/>
      <c r="C47" s="25"/>
      <c r="D47" s="25"/>
      <c r="E47" s="25"/>
      <c r="F47" s="25"/>
      <c r="G47" s="25"/>
      <c r="H47" s="25"/>
      <c r="I47" s="25"/>
      <c r="J47" s="25"/>
      <c r="K47" s="36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22"/>
      <c r="AG47" s="22"/>
      <c r="AH47" s="22"/>
    </row>
    <row r="48" spans="2:34" s="59" customFormat="1" ht="8.1999999999999993" customHeight="1" x14ac:dyDescent="0.4">
      <c r="B48"/>
      <c r="C48" s="5"/>
      <c r="D48" s="5"/>
      <c r="E48" s="5"/>
      <c r="F48" s="5"/>
      <c r="G48" s="5"/>
      <c r="H48" s="5"/>
      <c r="I48" s="5"/>
      <c r="J48" s="5"/>
      <c r="K48" s="7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2:22" s="59" customFormat="1" ht="12.75" customHeight="1" x14ac:dyDescent="0.4">
      <c r="B49" s="38" t="s">
        <v>18</v>
      </c>
      <c r="C49" s="32"/>
      <c r="D49" s="32"/>
      <c r="E49" s="33"/>
      <c r="I49" s="5"/>
      <c r="J49" s="5"/>
      <c r="K49" s="7"/>
      <c r="L49" s="5"/>
      <c r="M49" s="5"/>
      <c r="N49" s="5"/>
      <c r="O49" s="5"/>
      <c r="P49" s="248"/>
      <c r="Q49" s="248"/>
      <c r="R49" s="248"/>
      <c r="S49" s="5"/>
      <c r="T49" s="5"/>
      <c r="U49" s="5"/>
      <c r="V49" s="5"/>
    </row>
    <row r="50" spans="2:22" s="59" customFormat="1" ht="12.75" customHeight="1" x14ac:dyDescent="0.4">
      <c r="B50" s="46"/>
      <c r="C50" s="44"/>
      <c r="D50" s="44"/>
      <c r="E50" s="44"/>
      <c r="F50" s="249" t="s">
        <v>85</v>
      </c>
      <c r="G50" s="244"/>
      <c r="H50" s="244"/>
      <c r="I50" s="5"/>
      <c r="J50" s="5"/>
      <c r="K50" s="7"/>
      <c r="L50" s="5"/>
      <c r="M50" s="5"/>
      <c r="N50" s="5"/>
      <c r="O50" s="5"/>
      <c r="P50" s="173"/>
      <c r="Q50" s="173"/>
      <c r="R50" s="173"/>
      <c r="S50" s="5"/>
      <c r="T50" s="5"/>
      <c r="U50" s="5"/>
      <c r="V50" s="5"/>
    </row>
    <row r="51" spans="2:22" s="59" customFormat="1" ht="12.75" customHeight="1" x14ac:dyDescent="0.4">
      <c r="C51" s="19"/>
      <c r="D51" s="34"/>
      <c r="E51" s="34"/>
      <c r="F51" s="34"/>
      <c r="G51" s="34"/>
      <c r="H51" s="86" t="s">
        <v>82</v>
      </c>
      <c r="I51" s="34"/>
      <c r="J51" s="34"/>
      <c r="K51" s="153" t="s">
        <v>83</v>
      </c>
      <c r="L51" s="155" t="s">
        <v>17</v>
      </c>
      <c r="M51" s="156" t="s">
        <v>84</v>
      </c>
      <c r="N51" s="30"/>
      <c r="O51" s="30"/>
      <c r="P51" s="171"/>
      <c r="Q51" s="171"/>
      <c r="R51" s="171"/>
      <c r="S51" s="30"/>
      <c r="T51" s="30"/>
      <c r="U51" s="30"/>
      <c r="V51" s="30"/>
    </row>
    <row r="52" spans="2:22" s="59" customFormat="1" ht="12.75" customHeight="1" x14ac:dyDescent="0.4">
      <c r="B52" s="128"/>
      <c r="C52" s="19" t="s">
        <v>67</v>
      </c>
      <c r="D52" s="34"/>
      <c r="E52" s="34"/>
      <c r="F52" s="119">
        <f>F53-0.005</f>
        <v>4.0000000000000008E-2</v>
      </c>
      <c r="G52" s="34"/>
      <c r="H52" s="168">
        <f>$AB$28/F52</f>
        <v>8124004.0729249027</v>
      </c>
      <c r="I52" s="137"/>
      <c r="J52" s="138"/>
      <c r="K52" s="154">
        <f>K53</f>
        <v>-2900000</v>
      </c>
      <c r="L52" s="30">
        <f t="shared" ref="L52:L53" si="34">H52+K52</f>
        <v>5224004.0729249027</v>
      </c>
      <c r="M52" s="157">
        <f t="shared" ref="M52:M53" si="35">L52/-K52</f>
        <v>1.8013807148016905</v>
      </c>
      <c r="N52" s="30"/>
      <c r="O52" s="30"/>
      <c r="P52" s="172"/>
      <c r="Q52" s="172"/>
      <c r="R52" s="172"/>
      <c r="S52" s="30"/>
      <c r="T52" s="30"/>
      <c r="U52" s="30"/>
      <c r="V52" s="30"/>
    </row>
    <row r="53" spans="2:22" s="59" customFormat="1" ht="12.75" customHeight="1" x14ac:dyDescent="0.4">
      <c r="C53" s="246"/>
      <c r="D53" s="247"/>
      <c r="E53" s="247"/>
      <c r="F53" s="119">
        <f>F54-0.005</f>
        <v>4.5000000000000005E-2</v>
      </c>
      <c r="G53" s="34"/>
      <c r="H53" s="168">
        <f t="shared" ref="H53:H56" si="36">$AB$28/F53</f>
        <v>7221336.9537110254</v>
      </c>
      <c r="I53" s="138"/>
      <c r="J53" s="138"/>
      <c r="K53" s="154">
        <f>K54</f>
        <v>-2900000</v>
      </c>
      <c r="L53" s="30">
        <f t="shared" si="34"/>
        <v>4321336.9537110254</v>
      </c>
      <c r="M53" s="157">
        <f t="shared" si="35"/>
        <v>1.4901161909348364</v>
      </c>
      <c r="N53" s="30"/>
      <c r="O53" s="30"/>
      <c r="P53" s="30"/>
      <c r="Q53" s="30"/>
      <c r="R53" s="30"/>
      <c r="S53" s="30"/>
      <c r="T53" s="30"/>
      <c r="U53" s="30"/>
      <c r="V53" s="30"/>
    </row>
    <row r="54" spans="2:22" s="59" customFormat="1" ht="12.75" customHeight="1" x14ac:dyDescent="0.4">
      <c r="C54" s="247"/>
      <c r="D54" s="247"/>
      <c r="E54" s="247"/>
      <c r="F54" s="48">
        <v>0.05</v>
      </c>
      <c r="G54" s="167"/>
      <c r="H54" s="229">
        <f t="shared" si="36"/>
        <v>6499203.2583399229</v>
      </c>
      <c r="I54" s="138"/>
      <c r="J54" s="138"/>
      <c r="K54" s="154">
        <f>'Project Costs &amp; Capital (UL)'!N30</f>
        <v>-2900000</v>
      </c>
      <c r="L54" s="30">
        <f>H54+K54</f>
        <v>3599203.2583399229</v>
      </c>
      <c r="M54" s="157">
        <f>L54/-K54</f>
        <v>1.2411045718413527</v>
      </c>
      <c r="N54" s="30"/>
      <c r="O54" s="30"/>
      <c r="P54" s="30"/>
      <c r="R54" s="30"/>
      <c r="S54" s="30"/>
      <c r="T54" s="30"/>
      <c r="U54" s="30"/>
      <c r="V54" s="30"/>
    </row>
    <row r="55" spans="2:22" s="59" customFormat="1" ht="12.75" customHeight="1" x14ac:dyDescent="0.4">
      <c r="C55" s="247"/>
      <c r="D55" s="247"/>
      <c r="E55" s="247"/>
      <c r="F55" s="119">
        <f>F54+0.005</f>
        <v>5.5E-2</v>
      </c>
      <c r="G55" s="34"/>
      <c r="H55" s="168">
        <f t="shared" si="36"/>
        <v>5908366.5984908398</v>
      </c>
      <c r="I55" s="138"/>
      <c r="J55" s="138"/>
      <c r="K55" s="154">
        <f>K54</f>
        <v>-2900000</v>
      </c>
      <c r="L55" s="30">
        <f t="shared" ref="L55:L56" si="37">H55+K55</f>
        <v>3008366.5984908398</v>
      </c>
      <c r="M55" s="157">
        <f t="shared" ref="M55:M56" si="38">L55/-K55</f>
        <v>1.0373677925830482</v>
      </c>
      <c r="N55" s="30"/>
      <c r="O55" s="30"/>
      <c r="P55" s="30"/>
      <c r="Q55" s="30"/>
      <c r="R55" s="30"/>
      <c r="S55" s="30"/>
      <c r="T55" s="30"/>
      <c r="U55" s="30"/>
      <c r="V55" s="30"/>
    </row>
    <row r="56" spans="2:22" s="59" customFormat="1" ht="12.75" customHeight="1" x14ac:dyDescent="0.4">
      <c r="C56" s="247"/>
      <c r="D56" s="247"/>
      <c r="E56" s="247"/>
      <c r="F56" s="119">
        <f>F55+0.005</f>
        <v>0.06</v>
      </c>
      <c r="G56" s="34"/>
      <c r="H56" s="168">
        <f t="shared" si="36"/>
        <v>5416002.71528327</v>
      </c>
      <c r="I56" s="138"/>
      <c r="J56" s="138"/>
      <c r="K56" s="154">
        <f>K55</f>
        <v>-2900000</v>
      </c>
      <c r="L56" s="30">
        <f t="shared" si="37"/>
        <v>2516002.71528327</v>
      </c>
      <c r="M56" s="157">
        <f t="shared" si="38"/>
        <v>0.86758714320112762</v>
      </c>
      <c r="N56" s="30"/>
      <c r="O56" s="30"/>
      <c r="P56" s="30"/>
      <c r="Q56" s="30"/>
      <c r="R56" s="30"/>
      <c r="S56" s="30"/>
      <c r="T56" s="30"/>
      <c r="U56" s="30"/>
      <c r="V56" s="30"/>
    </row>
    <row r="57" spans="2:22" s="59" customFormat="1" ht="12.75" customHeight="1" x14ac:dyDescent="0.4">
      <c r="C57" s="133"/>
      <c r="D57" s="133"/>
      <c r="E57" s="134"/>
      <c r="F57" s="134"/>
      <c r="G57" s="134"/>
      <c r="H57" s="135"/>
      <c r="I57" s="134"/>
      <c r="J57" s="134"/>
      <c r="K57" s="136"/>
      <c r="L57" s="158"/>
      <c r="M57" s="159"/>
      <c r="N57" s="30"/>
      <c r="O57" s="30"/>
      <c r="P57" s="30"/>
      <c r="Q57" s="30"/>
      <c r="R57" s="30"/>
      <c r="S57" s="30"/>
      <c r="T57" s="30"/>
      <c r="U57" s="30"/>
      <c r="V57" s="30"/>
    </row>
    <row r="58" spans="2:22" s="59" customFormat="1" ht="12.75" customHeight="1" x14ac:dyDescent="0.4">
      <c r="C58" s="19"/>
      <c r="D58" s="19"/>
      <c r="E58" s="34"/>
      <c r="F58" s="34"/>
      <c r="G58" s="34"/>
      <c r="H58" s="64"/>
      <c r="I58" s="34"/>
      <c r="J58" s="34"/>
      <c r="K58" s="24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</row>
    <row r="59" spans="2:22" s="59" customFormat="1" ht="12.75" customHeight="1" x14ac:dyDescent="0.4">
      <c r="C59" s="19"/>
      <c r="D59" s="19"/>
      <c r="E59" s="34"/>
      <c r="F59" s="244" t="s">
        <v>88</v>
      </c>
      <c r="G59" s="244"/>
      <c r="H59" s="244"/>
      <c r="I59" s="34"/>
      <c r="J59" s="34"/>
      <c r="K59" s="24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</row>
    <row r="60" spans="2:22" s="59" customFormat="1" ht="12.75" customHeight="1" x14ac:dyDescent="0.4">
      <c r="C60" s="19"/>
      <c r="D60" s="19"/>
      <c r="E60" s="34"/>
      <c r="F60" s="34"/>
      <c r="G60" s="34"/>
      <c r="H60" s="64"/>
      <c r="I60" s="34"/>
      <c r="J60" s="34"/>
      <c r="K60" s="24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</row>
    <row r="61" spans="2:22" s="59" customFormat="1" ht="12.75" customHeight="1" x14ac:dyDescent="0.4">
      <c r="C61" s="19" t="s">
        <v>15</v>
      </c>
      <c r="D61" s="19"/>
      <c r="E61" s="34"/>
      <c r="F61" s="119">
        <f>F62-0.005</f>
        <v>6.9999999999999993E-2</v>
      </c>
      <c r="G61" s="34"/>
      <c r="H61" s="64">
        <f>NPV(F61,$K$46:$AE$46)</f>
        <v>1199423.635542108</v>
      </c>
      <c r="I61" s="139"/>
      <c r="J61" s="139"/>
      <c r="K61" s="14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</row>
    <row r="62" spans="2:22" s="59" customFormat="1" ht="12.75" customHeight="1" x14ac:dyDescent="0.4">
      <c r="C62" s="246"/>
      <c r="D62" s="246"/>
      <c r="E62" s="246"/>
      <c r="F62" s="119">
        <f>F63-0.005</f>
        <v>7.4999999999999997E-2</v>
      </c>
      <c r="G62" s="34"/>
      <c r="H62" s="64">
        <f t="shared" ref="H62:H67" si="39">NPV(F62,$K$46:$AE$46)</f>
        <v>1046475.4277834288</v>
      </c>
      <c r="I62" s="139"/>
      <c r="J62" s="139"/>
      <c r="K62" s="14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</row>
    <row r="63" spans="2:22" s="59" customFormat="1" ht="12.75" customHeight="1" x14ac:dyDescent="0.4">
      <c r="C63" s="246"/>
      <c r="D63" s="246"/>
      <c r="E63" s="246"/>
      <c r="F63" s="119">
        <f>F64-0.005</f>
        <v>0.08</v>
      </c>
      <c r="G63" s="34"/>
      <c r="H63" s="64">
        <f>NPV(F63,$K$46:$AE$46)</f>
        <v>901772.01130522008</v>
      </c>
      <c r="I63" s="139"/>
      <c r="J63" s="139"/>
      <c r="K63" s="14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</row>
    <row r="64" spans="2:22" s="59" customFormat="1" ht="12.75" customHeight="1" x14ac:dyDescent="0.4">
      <c r="C64" s="246"/>
      <c r="D64" s="246"/>
      <c r="E64" s="246"/>
      <c r="F64" s="48">
        <v>8.5000000000000006E-2</v>
      </c>
      <c r="G64" s="34"/>
      <c r="H64" s="64">
        <f t="shared" si="39"/>
        <v>764845.22647639713</v>
      </c>
      <c r="I64" s="139"/>
      <c r="J64" s="139"/>
      <c r="K64" s="14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</row>
    <row r="65" spans="2:22" s="59" customFormat="1" ht="12.75" customHeight="1" x14ac:dyDescent="0.4">
      <c r="C65" s="246"/>
      <c r="D65" s="246"/>
      <c r="E65" s="246"/>
      <c r="F65" s="119">
        <f>F64+0.005</f>
        <v>9.0000000000000011E-2</v>
      </c>
      <c r="G65" s="34"/>
      <c r="H65" s="64">
        <f t="shared" si="39"/>
        <v>635255.60654666286</v>
      </c>
      <c r="I65" s="139"/>
      <c r="J65" s="139"/>
      <c r="K65" s="14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</row>
    <row r="66" spans="2:22" s="59" customFormat="1" ht="12.75" customHeight="1" x14ac:dyDescent="0.4">
      <c r="C66" s="246"/>
      <c r="D66" s="246"/>
      <c r="E66" s="246"/>
      <c r="F66" s="119">
        <f t="shared" ref="F66:F67" si="40">F65+0.005</f>
        <v>9.5000000000000015E-2</v>
      </c>
      <c r="G66" s="34"/>
      <c r="H66" s="64">
        <f t="shared" si="39"/>
        <v>512590.48966946884</v>
      </c>
      <c r="I66" s="139"/>
      <c r="J66" s="139"/>
      <c r="K66" s="14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</row>
    <row r="67" spans="2:22" s="59" customFormat="1" ht="12.75" customHeight="1" x14ac:dyDescent="0.4">
      <c r="C67" s="246"/>
      <c r="D67" s="246"/>
      <c r="E67" s="246"/>
      <c r="F67" s="119">
        <f t="shared" si="40"/>
        <v>0.10000000000000002</v>
      </c>
      <c r="G67" s="34"/>
      <c r="H67" s="64">
        <f t="shared" si="39"/>
        <v>396462.26343885635</v>
      </c>
      <c r="I67" s="141"/>
      <c r="J67" s="141"/>
      <c r="K67" s="142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</row>
    <row r="68" spans="2:22" s="59" customFormat="1" ht="12.75" customHeight="1" x14ac:dyDescent="0.4">
      <c r="C68" s="19"/>
      <c r="D68" s="19"/>
      <c r="E68" s="34"/>
      <c r="F68" s="48"/>
      <c r="G68" s="34"/>
      <c r="H68" s="64"/>
      <c r="I68" s="34"/>
      <c r="J68" s="34"/>
      <c r="K68" s="24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</row>
    <row r="69" spans="2:22" s="59" customFormat="1" ht="12.75" customHeight="1" x14ac:dyDescent="0.4">
      <c r="C69" s="19" t="s">
        <v>16</v>
      </c>
      <c r="D69" s="19"/>
      <c r="E69" s="34"/>
      <c r="F69" s="34"/>
      <c r="G69" s="34"/>
      <c r="H69" s="230">
        <f>IRR(K46:AE46)</f>
        <v>0.11947098113852017</v>
      </c>
      <c r="I69" s="34"/>
      <c r="J69" s="34"/>
      <c r="K69" s="24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</row>
    <row r="70" spans="2:22" s="59" customFormat="1" ht="12.75" customHeight="1" x14ac:dyDescent="0.4">
      <c r="C70" s="19" t="s">
        <v>90</v>
      </c>
      <c r="D70" s="19"/>
      <c r="E70" s="34"/>
      <c r="F70" s="34"/>
      <c r="G70" s="34"/>
      <c r="H70" s="228">
        <f>SUM(K46:AE46)</f>
        <v>4557594.5415485809</v>
      </c>
      <c r="I70" s="34"/>
      <c r="J70" s="34"/>
      <c r="K70" s="24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</row>
    <row r="71" spans="2:22" s="59" customFormat="1" ht="12.75" customHeight="1" x14ac:dyDescent="0.4">
      <c r="C71" s="19"/>
      <c r="D71" s="34"/>
      <c r="E71" s="34"/>
      <c r="F71" s="34"/>
      <c r="G71" s="34"/>
      <c r="H71" s="34"/>
      <c r="I71" s="34"/>
      <c r="J71" s="34"/>
      <c r="K71" s="24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</row>
    <row r="72" spans="2:22" s="59" customFormat="1" ht="12.75" customHeight="1" x14ac:dyDescent="0.4">
      <c r="C72" s="19" t="s">
        <v>68</v>
      </c>
      <c r="D72" s="34"/>
      <c r="E72" s="34"/>
      <c r="F72" s="34"/>
      <c r="G72" s="34"/>
      <c r="H72" s="65"/>
      <c r="I72" s="34"/>
      <c r="J72" s="34"/>
      <c r="K72" s="118" t="str">
        <f>IF(K46&lt;0,"",K38/'Project Costs &amp; Capital (UL)'!$N$30)</f>
        <v/>
      </c>
      <c r="L72" s="108" t="str">
        <f>IF(L46&lt;0,"",L38/'Project Costs &amp; Capital (UL)'!$N$30)</f>
        <v/>
      </c>
      <c r="M72" s="108">
        <f>IF(M46&lt;0,"",M38/-'Project Costs &amp; Capital (UL)'!$N$30)</f>
        <v>8.4482758620689657E-2</v>
      </c>
      <c r="N72" s="108">
        <f>IF(N46&lt;0,"",N38/-'Project Costs &amp; Capital (UL)'!$N$30)</f>
        <v>8.4431034482758627E-2</v>
      </c>
      <c r="O72" s="108">
        <f>IF(O46&lt;0,"",O38/-'Project Costs &amp; Capital (UL)'!$N$30)</f>
        <v>8.437775862068965E-2</v>
      </c>
      <c r="P72" s="108">
        <f>IF(P46&lt;0,"",P38/-'Project Costs &amp; Capital (UL)'!$N$30)</f>
        <v>8.4322884482758612E-2</v>
      </c>
      <c r="Q72" s="108">
        <f>IF(Q46&lt;0,"",Q38/-'Project Costs &amp; Capital (UL)'!$N$30)</f>
        <v>8.4266364120689663E-2</v>
      </c>
      <c r="R72" s="108">
        <f>IF(R46&lt;0,"",R38/-'Project Costs &amp; Capital (UL)'!$N$30)</f>
        <v>9.2828837802931038E-2</v>
      </c>
      <c r="S72" s="108">
        <f>IF(S46&lt;0,"",S38/-'Project Costs &amp; Capital (UL)'!$N$30)</f>
        <v>9.2768875350812074E-2</v>
      </c>
      <c r="T72" s="108">
        <f>IF(T46&lt;0,"",T38/-'Project Costs &amp; Capital (UL)'!$N$30)</f>
        <v>9.2707114025129544E-2</v>
      </c>
      <c r="U72" s="108">
        <f>IF(U46&lt;0,"",U38/-'Project Costs &amp; Capital (UL)'!$N$30)</f>
        <v>9.2643499859676529E-2</v>
      </c>
      <c r="V72" s="108">
        <f>IF(V46&lt;0,"",V38/-'Project Costs &amp; Capital (UL)'!$N$30)</f>
        <v>9.2577977269259926E-2</v>
      </c>
    </row>
    <row r="73" spans="2:22" s="59" customFormat="1" ht="12.75" customHeight="1" x14ac:dyDescent="0.4">
      <c r="C73" s="19"/>
      <c r="D73" s="167" t="s">
        <v>89</v>
      </c>
      <c r="E73" s="34"/>
      <c r="F73" s="34"/>
      <c r="G73" s="34"/>
      <c r="H73" s="174">
        <f>AVERAGE(M72:V72)</f>
        <v>8.8540710463539535E-2</v>
      </c>
      <c r="I73" s="34"/>
      <c r="J73" s="34"/>
      <c r="K73" s="11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</row>
    <row r="74" spans="2:22" ht="8.1999999999999993" customHeight="1" thickBot="1" x14ac:dyDescent="0.45">
      <c r="B74" s="25"/>
      <c r="C74" s="25"/>
      <c r="D74" s="25"/>
      <c r="E74" s="25"/>
      <c r="F74" s="25"/>
      <c r="G74" s="25"/>
      <c r="H74" s="25"/>
      <c r="I74" s="25"/>
      <c r="J74" s="25"/>
      <c r="K74" s="36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</row>
    <row r="76" spans="2:22" ht="12.75" customHeight="1" x14ac:dyDescent="0.4">
      <c r="C76" s="19" t="s">
        <v>67</v>
      </c>
      <c r="F76" s="129" t="s">
        <v>81</v>
      </c>
      <c r="H76" s="34" t="s">
        <v>77</v>
      </c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</row>
    <row r="77" spans="2:22" ht="12.75" customHeight="1" x14ac:dyDescent="0.4">
      <c r="C77" s="19" t="s">
        <v>15</v>
      </c>
      <c r="F77" s="129" t="s">
        <v>81</v>
      </c>
      <c r="H77" s="34" t="s">
        <v>78</v>
      </c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</row>
    <row r="78" spans="2:22" ht="12.75" customHeight="1" x14ac:dyDescent="0.4">
      <c r="C78" s="19" t="s">
        <v>16</v>
      </c>
      <c r="F78" s="129" t="s">
        <v>81</v>
      </c>
      <c r="H78" s="34" t="s">
        <v>79</v>
      </c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</row>
  </sheetData>
  <mergeCells count="7">
    <mergeCell ref="K5:V5"/>
    <mergeCell ref="K10:L10"/>
    <mergeCell ref="C53:E56"/>
    <mergeCell ref="C62:E67"/>
    <mergeCell ref="P49:R49"/>
    <mergeCell ref="F50:H50"/>
    <mergeCell ref="F59:H59"/>
  </mergeCells>
  <printOptions horizontalCentered="1"/>
  <pageMargins left="0.5" right="0.5" top="0.75" bottom="0.75" header="0.5" footer="0.5"/>
  <pageSetup scale="62" orientation="landscape" r:id="rId1"/>
  <headerFooter alignWithMargins="0"/>
  <ignoredErrors>
    <ignoredError sqref="K26:V26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A22E8-8F4A-4F70-A51C-BB3E48B5932A}">
  <sheetPr>
    <tabColor rgb="FF002060"/>
  </sheetPr>
  <dimension ref="A1"/>
  <sheetViews>
    <sheetView workbookViewId="0">
      <selection activeCell="M17" sqref="M17"/>
    </sheetView>
  </sheetViews>
  <sheetFormatPr defaultRowHeight="12.75" x14ac:dyDescent="0.3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81507-AC07-489B-BE87-2D6EDC509861}">
  <sheetPr>
    <pageSetUpPr fitToPage="1"/>
  </sheetPr>
  <dimension ref="B1:N46"/>
  <sheetViews>
    <sheetView showGridLines="0" topLeftCell="A11" zoomScale="140" zoomScaleNormal="140" workbookViewId="0">
      <selection activeCell="B2" sqref="B2"/>
    </sheetView>
  </sheetViews>
  <sheetFormatPr defaultRowHeight="12.75" customHeight="1" x14ac:dyDescent="0.35"/>
  <cols>
    <col min="1" max="1" width="0.796875" customWidth="1"/>
    <col min="2" max="3" width="1.796875" customWidth="1"/>
    <col min="4" max="4" width="15.796875" customWidth="1"/>
    <col min="5" max="5" width="6.796875" customWidth="1"/>
    <col min="6" max="7" width="10.796875" customWidth="1"/>
    <col min="8" max="11" width="11.796875" customWidth="1"/>
    <col min="12" max="13" width="0.796875" customWidth="1"/>
    <col min="14" max="14" width="11.796875" customWidth="1"/>
  </cols>
  <sheetData>
    <row r="1" spans="2:14" ht="12.75" customHeight="1" x14ac:dyDescent="0.5">
      <c r="B1" s="68" t="s">
        <v>124</v>
      </c>
    </row>
    <row r="2" spans="2:14" ht="15" customHeight="1" x14ac:dyDescent="0.5">
      <c r="B2" s="68" t="s">
        <v>19</v>
      </c>
      <c r="C2" s="11"/>
      <c r="D2" s="11"/>
      <c r="E2" s="11"/>
      <c r="F2" s="37"/>
      <c r="G2" s="37"/>
      <c r="H2" s="37"/>
    </row>
    <row r="3" spans="2:14" ht="8.1999999999999993" customHeight="1" x14ac:dyDescent="0.5">
      <c r="B3" s="11"/>
      <c r="C3" s="9"/>
      <c r="D3" s="9"/>
      <c r="E3" s="9"/>
    </row>
    <row r="4" spans="2:14" s="31" customFormat="1" ht="12.75" customHeight="1" x14ac:dyDescent="0.4">
      <c r="B4" s="40"/>
      <c r="C4" s="40"/>
      <c r="D4" s="40"/>
      <c r="E4" s="40"/>
      <c r="H4" s="26"/>
      <c r="I4" s="88"/>
      <c r="J4" s="26"/>
      <c r="K4" s="26"/>
      <c r="L4" s="26"/>
      <c r="M4" s="26"/>
      <c r="N4" s="26"/>
    </row>
    <row r="5" spans="2:14" ht="12.75" customHeight="1" x14ac:dyDescent="0.4">
      <c r="B5" s="5"/>
      <c r="C5" s="5"/>
      <c r="D5" s="5"/>
      <c r="E5" s="5"/>
      <c r="H5" s="242" t="s">
        <v>1</v>
      </c>
      <c r="I5" s="242"/>
      <c r="J5" s="242"/>
      <c r="K5" s="242"/>
      <c r="L5" s="242"/>
      <c r="M5" s="242"/>
      <c r="N5" s="242"/>
    </row>
    <row r="6" spans="2:14" s="10" customFormat="1" ht="12.75" customHeight="1" x14ac:dyDescent="0.4">
      <c r="B6" s="46"/>
      <c r="C6" s="44"/>
      <c r="D6" s="44"/>
      <c r="E6" s="28"/>
      <c r="H6" s="116">
        <v>0</v>
      </c>
      <c r="I6" s="41">
        <v>1</v>
      </c>
      <c r="J6" s="41">
        <f>I6+1</f>
        <v>2</v>
      </c>
      <c r="K6" s="43">
        <f>J6+1</f>
        <v>3</v>
      </c>
      <c r="L6" s="91"/>
      <c r="M6" s="89"/>
      <c r="N6" s="90" t="s">
        <v>0</v>
      </c>
    </row>
    <row r="7" spans="2:14" s="1" customFormat="1" ht="4.05" customHeight="1" x14ac:dyDescent="0.4">
      <c r="B7" s="39"/>
      <c r="C7" s="8"/>
      <c r="D7" s="8"/>
      <c r="E7" s="8"/>
      <c r="F7" s="13"/>
      <c r="G7" s="13"/>
      <c r="H7" s="12"/>
      <c r="I7" s="12"/>
    </row>
    <row r="8" spans="2:14" s="1" customFormat="1" ht="12.75" customHeight="1" x14ac:dyDescent="0.4">
      <c r="B8" s="240" t="s">
        <v>34</v>
      </c>
      <c r="C8" s="241"/>
      <c r="D8" s="241"/>
      <c r="E8" s="241"/>
      <c r="F8" s="241"/>
      <c r="G8" s="85"/>
      <c r="H8" s="12"/>
    </row>
    <row r="9" spans="2:14" s="1" customFormat="1" ht="8.1999999999999993" customHeight="1" x14ac:dyDescent="0.4">
      <c r="B9" s="39"/>
      <c r="C9" s="8"/>
      <c r="D9" s="8"/>
      <c r="E9" s="8"/>
      <c r="F9" s="13"/>
      <c r="G9" s="13"/>
      <c r="H9" s="12"/>
    </row>
    <row r="10" spans="2:14" s="1" customFormat="1" ht="12.75" customHeight="1" x14ac:dyDescent="0.4">
      <c r="B10" s="19" t="s">
        <v>20</v>
      </c>
      <c r="C10" s="19"/>
      <c r="D10" s="19"/>
      <c r="E10" s="19"/>
      <c r="F10" s="13"/>
      <c r="G10" s="13"/>
      <c r="L10" s="2"/>
    </row>
    <row r="11" spans="2:14" s="1" customFormat="1" ht="12.75" customHeight="1" x14ac:dyDescent="0.4">
      <c r="B11" s="19"/>
      <c r="C11" s="5" t="s">
        <v>8</v>
      </c>
      <c r="D11" s="19"/>
      <c r="E11" s="19"/>
      <c r="F11" s="13"/>
      <c r="G11" s="13"/>
      <c r="H11" s="177">
        <f>'Project Costs &amp; Capital (UL)'!H11</f>
        <v>-2500000</v>
      </c>
      <c r="I11" s="177">
        <f>'Project Costs &amp; Capital (UL)'!I11</f>
        <v>0</v>
      </c>
      <c r="J11" s="177">
        <f>'Project Costs &amp; Capital (UL)'!J11</f>
        <v>0</v>
      </c>
      <c r="K11" s="177">
        <f>'Project Costs &amp; Capital (UL)'!K11</f>
        <v>0</v>
      </c>
      <c r="L11" s="2"/>
      <c r="N11" s="177">
        <f>SUM(H11:K11)</f>
        <v>-2500000</v>
      </c>
    </row>
    <row r="12" spans="2:14" s="1" customFormat="1" ht="12.75" customHeight="1" x14ac:dyDescent="0.4">
      <c r="B12" s="19"/>
      <c r="C12" s="5" t="s">
        <v>21</v>
      </c>
      <c r="D12" s="19"/>
      <c r="E12" s="19"/>
      <c r="F12" s="13"/>
      <c r="G12" s="13"/>
      <c r="H12" s="225">
        <f>'Project Costs &amp; Capital (UL)'!H12</f>
        <v>-30000</v>
      </c>
      <c r="I12" s="225">
        <f>'Project Costs &amp; Capital (UL)'!I12</f>
        <v>0</v>
      </c>
      <c r="J12" s="225">
        <f>'Project Costs &amp; Capital (UL)'!J12</f>
        <v>0</v>
      </c>
      <c r="K12" s="225">
        <f>'Project Costs &amp; Capital (UL)'!K12</f>
        <v>0</v>
      </c>
      <c r="L12" s="2"/>
      <c r="N12" s="225">
        <f t="shared" ref="N12:N14" si="0">SUM(H12:K12)</f>
        <v>-30000</v>
      </c>
    </row>
    <row r="13" spans="2:14" s="1" customFormat="1" ht="12.75" customHeight="1" x14ac:dyDescent="0.4">
      <c r="B13" s="73"/>
      <c r="C13" s="3" t="s">
        <v>23</v>
      </c>
      <c r="D13" s="73"/>
      <c r="E13" s="73"/>
      <c r="F13" s="74"/>
      <c r="G13" s="74"/>
      <c r="H13" s="224">
        <f>'Project Costs &amp; Capital (UL)'!H13</f>
        <v>-100000</v>
      </c>
      <c r="I13" s="224">
        <f>'Project Costs &amp; Capital (UL)'!I13</f>
        <v>0</v>
      </c>
      <c r="J13" s="224">
        <f>'Project Costs &amp; Capital (UL)'!J13</f>
        <v>0</v>
      </c>
      <c r="K13" s="224">
        <f>'Project Costs &amp; Capital (UL)'!K13</f>
        <v>0</v>
      </c>
      <c r="L13" s="2"/>
      <c r="N13" s="224">
        <f t="shared" si="0"/>
        <v>-100000</v>
      </c>
    </row>
    <row r="14" spans="2:14" s="1" customFormat="1" ht="12.75" customHeight="1" x14ac:dyDescent="0.4">
      <c r="B14" s="73"/>
      <c r="C14" s="3" t="s">
        <v>24</v>
      </c>
      <c r="D14" s="73"/>
      <c r="E14" s="73"/>
      <c r="F14" s="74"/>
      <c r="G14" s="74"/>
      <c r="H14" s="178">
        <f>'Project Costs &amp; Capital (UL)'!H14</f>
        <v>-20000</v>
      </c>
      <c r="I14" s="178">
        <f>'Project Costs &amp; Capital (UL)'!I14</f>
        <v>0</v>
      </c>
      <c r="J14" s="178">
        <f>'Project Costs &amp; Capital (UL)'!J14</f>
        <v>0</v>
      </c>
      <c r="K14" s="178">
        <f>'Project Costs &amp; Capital (UL)'!K14</f>
        <v>0</v>
      </c>
      <c r="L14" s="2"/>
      <c r="N14" s="178">
        <f t="shared" si="0"/>
        <v>-20000</v>
      </c>
    </row>
    <row r="15" spans="2:14" s="1" customFormat="1" ht="12.75" customHeight="1" x14ac:dyDescent="0.4">
      <c r="B15" s="73" t="s">
        <v>22</v>
      </c>
      <c r="C15" s="73"/>
      <c r="D15" s="73"/>
      <c r="E15" s="73"/>
      <c r="F15" s="74"/>
      <c r="G15" s="74"/>
      <c r="H15" s="77">
        <f>SUM(H11:H14)</f>
        <v>-2650000</v>
      </c>
      <c r="I15" s="77">
        <f t="shared" ref="I15:K15" si="1">SUM(I11:I14)</f>
        <v>0</v>
      </c>
      <c r="J15" s="77">
        <f t="shared" si="1"/>
        <v>0</v>
      </c>
      <c r="K15" s="77">
        <f t="shared" si="1"/>
        <v>0</v>
      </c>
      <c r="L15" s="2"/>
      <c r="N15" s="77">
        <f>SUM(N11:N14)</f>
        <v>-2650000</v>
      </c>
    </row>
    <row r="16" spans="2:14" s="1" customFormat="1" ht="8.1999999999999993" customHeight="1" x14ac:dyDescent="0.4">
      <c r="B16" s="73"/>
      <c r="C16" s="73"/>
      <c r="D16" s="73"/>
      <c r="E16" s="73"/>
      <c r="F16" s="74"/>
      <c r="G16" s="74"/>
      <c r="H16" s="78"/>
      <c r="L16" s="2"/>
      <c r="N16" s="78"/>
    </row>
    <row r="17" spans="2:14" s="1" customFormat="1" ht="12.75" customHeight="1" x14ac:dyDescent="0.4">
      <c r="B17" s="73" t="s">
        <v>25</v>
      </c>
      <c r="C17" s="73"/>
      <c r="D17" s="73"/>
      <c r="E17" s="73"/>
      <c r="F17" s="74"/>
      <c r="G17" s="74"/>
      <c r="H17" s="78"/>
      <c r="L17" s="2"/>
      <c r="N17" s="78"/>
    </row>
    <row r="18" spans="2:14" s="1" customFormat="1" ht="12.75" customHeight="1" x14ac:dyDescent="0.4">
      <c r="B18" s="73"/>
      <c r="C18" s="3" t="s">
        <v>26</v>
      </c>
      <c r="D18" s="73"/>
      <c r="E18" s="73"/>
      <c r="F18" s="74"/>
      <c r="G18" s="74"/>
      <c r="H18" s="221">
        <f>'Project Costs &amp; Capital (UL)'!H18</f>
        <v>0</v>
      </c>
      <c r="I18" s="221">
        <f>'Project Costs &amp; Capital (UL)'!I18</f>
        <v>-250000</v>
      </c>
      <c r="J18" s="221">
        <f>'Project Costs &amp; Capital (UL)'!J18</f>
        <v>0</v>
      </c>
      <c r="K18" s="221">
        <f>'Project Costs &amp; Capital (UL)'!K18</f>
        <v>0</v>
      </c>
      <c r="L18" s="222"/>
      <c r="M18" s="223"/>
      <c r="N18" s="177">
        <f>SUM(H18:K18)</f>
        <v>-250000</v>
      </c>
    </row>
    <row r="19" spans="2:14" s="1" customFormat="1" ht="12.75" customHeight="1" x14ac:dyDescent="0.4">
      <c r="B19" s="73"/>
      <c r="C19" s="3" t="s">
        <v>27</v>
      </c>
      <c r="D19" s="73"/>
      <c r="E19" s="73"/>
      <c r="F19" s="74"/>
      <c r="G19" s="74"/>
      <c r="H19" s="224">
        <f>'Project Costs &amp; Capital (UL)'!H19</f>
        <v>0</v>
      </c>
      <c r="I19" s="224">
        <f>'Project Costs &amp; Capital (UL)'!I19</f>
        <v>0</v>
      </c>
      <c r="J19" s="224">
        <f>'Project Costs &amp; Capital (UL)'!J19</f>
        <v>0</v>
      </c>
      <c r="K19" s="224">
        <f>'Project Costs &amp; Capital (UL)'!K19</f>
        <v>0</v>
      </c>
      <c r="L19" s="222"/>
      <c r="M19" s="223"/>
      <c r="N19" s="224">
        <f t="shared" ref="N19:N20" si="2">SUM(H19:K19)</f>
        <v>0</v>
      </c>
    </row>
    <row r="20" spans="2:14" s="1" customFormat="1" ht="12.75" customHeight="1" x14ac:dyDescent="0.4">
      <c r="B20" s="73"/>
      <c r="C20" s="3" t="s">
        <v>28</v>
      </c>
      <c r="D20" s="73"/>
      <c r="E20" s="73"/>
      <c r="F20" s="74"/>
      <c r="G20" s="74"/>
      <c r="H20" s="178">
        <f>'Project Costs &amp; Capital (UL)'!H20</f>
        <v>0</v>
      </c>
      <c r="I20" s="178">
        <f>'Project Costs &amp; Capital (UL)'!I20</f>
        <v>0</v>
      </c>
      <c r="J20" s="178">
        <f>'Project Costs &amp; Capital (UL)'!J20</f>
        <v>0</v>
      </c>
      <c r="K20" s="178">
        <f>'Project Costs &amp; Capital (UL)'!K20</f>
        <v>0</v>
      </c>
      <c r="L20" s="222"/>
      <c r="M20" s="223"/>
      <c r="N20" s="178">
        <f t="shared" si="2"/>
        <v>0</v>
      </c>
    </row>
    <row r="21" spans="2:14" s="1" customFormat="1" ht="12.75" customHeight="1" x14ac:dyDescent="0.4">
      <c r="B21" s="73" t="s">
        <v>29</v>
      </c>
      <c r="C21" s="73"/>
      <c r="D21" s="73"/>
      <c r="E21" s="73"/>
      <c r="F21" s="74"/>
      <c r="G21" s="74"/>
      <c r="H21" s="77">
        <f>SUM(H18:H20)</f>
        <v>0</v>
      </c>
      <c r="I21" s="77">
        <f>SUM(I18:I20)</f>
        <v>-250000</v>
      </c>
      <c r="J21" s="77">
        <f t="shared" ref="J21:K21" si="3">SUM(J18:J20)</f>
        <v>0</v>
      </c>
      <c r="K21" s="77">
        <f t="shared" si="3"/>
        <v>0</v>
      </c>
      <c r="L21" s="2"/>
      <c r="N21" s="77">
        <f>SUM(N18:N20)</f>
        <v>-250000</v>
      </c>
    </row>
    <row r="22" spans="2:14" s="1" customFormat="1" ht="8.1999999999999993" customHeight="1" x14ac:dyDescent="0.4">
      <c r="B22" s="73"/>
      <c r="C22" s="73"/>
      <c r="D22" s="73"/>
      <c r="E22" s="73"/>
      <c r="F22" s="74"/>
      <c r="G22" s="74"/>
      <c r="H22" s="77"/>
      <c r="I22" s="77"/>
      <c r="L22" s="2"/>
      <c r="N22" s="77"/>
    </row>
    <row r="23" spans="2:14" s="1" customFormat="1" ht="12.75" customHeight="1" x14ac:dyDescent="0.4">
      <c r="B23" s="73" t="s">
        <v>30</v>
      </c>
      <c r="C23" s="73"/>
      <c r="D23" s="73"/>
      <c r="E23" s="73"/>
      <c r="F23" s="74"/>
      <c r="G23" s="74"/>
      <c r="H23" s="77"/>
      <c r="I23" s="77"/>
      <c r="L23" s="2"/>
      <c r="N23" s="77"/>
    </row>
    <row r="24" spans="2:14" s="1" customFormat="1" ht="12.75" customHeight="1" x14ac:dyDescent="0.4">
      <c r="B24" s="73"/>
      <c r="C24" s="3" t="s">
        <v>69</v>
      </c>
      <c r="D24" s="73"/>
      <c r="E24" s="73"/>
      <c r="F24" s="74"/>
      <c r="G24" s="74"/>
      <c r="H24" s="221">
        <f>'Project Costs &amp; Capital (UL)'!H24</f>
        <v>0</v>
      </c>
      <c r="I24" s="221">
        <f>'Project Costs &amp; Capital (UL)'!I24</f>
        <v>0</v>
      </c>
      <c r="J24" s="221">
        <f>'Project Costs &amp; Capital (UL)'!J24</f>
        <v>0</v>
      </c>
      <c r="K24" s="221">
        <f>'Project Costs &amp; Capital (UL)'!K24</f>
        <v>0</v>
      </c>
      <c r="L24" s="2"/>
      <c r="N24" s="177">
        <f>SUM(H24:K24)</f>
        <v>0</v>
      </c>
    </row>
    <row r="25" spans="2:14" s="1" customFormat="1" ht="12.75" customHeight="1" x14ac:dyDescent="0.4">
      <c r="B25" s="73"/>
      <c r="C25" s="3" t="s">
        <v>70</v>
      </c>
      <c r="D25" s="73"/>
      <c r="E25" s="73"/>
      <c r="F25" s="74"/>
      <c r="G25" s="74"/>
      <c r="H25" s="76">
        <v>0</v>
      </c>
      <c r="I25" s="76">
        <v>-80000</v>
      </c>
      <c r="J25" s="76">
        <v>0</v>
      </c>
      <c r="K25" s="76">
        <v>0</v>
      </c>
      <c r="L25" s="2"/>
      <c r="N25" s="178">
        <f>SUM(H25:K25)</f>
        <v>-80000</v>
      </c>
    </row>
    <row r="26" spans="2:14" s="1" customFormat="1" ht="12.75" customHeight="1" x14ac:dyDescent="0.4">
      <c r="B26" s="73" t="s">
        <v>31</v>
      </c>
      <c r="C26" s="73"/>
      <c r="D26" s="73"/>
      <c r="E26" s="73"/>
      <c r="F26" s="74"/>
      <c r="G26" s="74"/>
      <c r="H26" s="77">
        <f>SUM(H24:H25)</f>
        <v>0</v>
      </c>
      <c r="I26" s="77">
        <f>SUM(I24:I25)</f>
        <v>-80000</v>
      </c>
      <c r="J26" s="77">
        <f t="shared" ref="J26:K26" si="4">SUM(J24:J25)</f>
        <v>0</v>
      </c>
      <c r="K26" s="77">
        <f t="shared" si="4"/>
        <v>0</v>
      </c>
      <c r="L26" s="2"/>
      <c r="N26" s="77">
        <f>SUM(N24:N25)</f>
        <v>-80000</v>
      </c>
    </row>
    <row r="27" spans="2:14" s="1" customFormat="1" ht="8.1999999999999993" customHeight="1" x14ac:dyDescent="0.4">
      <c r="B27" s="73"/>
      <c r="C27" s="73"/>
      <c r="D27" s="73"/>
      <c r="E27" s="73"/>
      <c r="F27" s="74"/>
      <c r="G27" s="74"/>
      <c r="H27" s="77"/>
      <c r="I27" s="77"/>
      <c r="L27" s="2"/>
      <c r="N27" s="77"/>
    </row>
    <row r="28" spans="2:14" s="1" customFormat="1" ht="12.75" customHeight="1" x14ac:dyDescent="0.4">
      <c r="B28" s="73" t="s">
        <v>32</v>
      </c>
      <c r="C28" s="73"/>
      <c r="D28" s="73"/>
      <c r="E28" s="130">
        <v>0</v>
      </c>
      <c r="F28" s="74"/>
      <c r="G28" s="74"/>
      <c r="H28" s="165">
        <v>0</v>
      </c>
      <c r="I28" s="165">
        <f>(I21+I26)*E28</f>
        <v>0</v>
      </c>
      <c r="J28" s="165">
        <v>0</v>
      </c>
      <c r="K28" s="165">
        <v>0</v>
      </c>
      <c r="L28" s="2"/>
      <c r="N28" s="61">
        <f t="shared" ref="N28" si="5">SUM(H28:K28)</f>
        <v>0</v>
      </c>
    </row>
    <row r="29" spans="2:14" s="1" customFormat="1" ht="8.1999999999999993" customHeight="1" x14ac:dyDescent="0.4">
      <c r="B29" s="19"/>
      <c r="C29" s="19"/>
      <c r="D29" s="19"/>
      <c r="E29" s="19"/>
      <c r="F29" s="13"/>
      <c r="G29" s="13"/>
      <c r="H29" s="66"/>
      <c r="L29" s="2"/>
      <c r="N29" s="66"/>
    </row>
    <row r="30" spans="2:14" s="1" customFormat="1" ht="12.75" customHeight="1" x14ac:dyDescent="0.4">
      <c r="B30" s="69" t="s">
        <v>33</v>
      </c>
      <c r="C30" s="69"/>
      <c r="D30" s="69"/>
      <c r="E30" s="69"/>
      <c r="F30" s="71"/>
      <c r="G30" s="71"/>
      <c r="H30" s="72">
        <f>H15+H21+H26+H28</f>
        <v>-2650000</v>
      </c>
      <c r="I30" s="72">
        <f>I15+I21+I26+I28</f>
        <v>-330000</v>
      </c>
      <c r="J30" s="72">
        <f t="shared" ref="J30:K30" si="6">J15+J21+J26+J28</f>
        <v>0</v>
      </c>
      <c r="K30" s="72">
        <f t="shared" si="6"/>
        <v>0</v>
      </c>
      <c r="L30" s="2"/>
      <c r="N30" s="72">
        <f>N15+N21+N26+N28</f>
        <v>-2980000</v>
      </c>
    </row>
    <row r="31" spans="2:14" s="1" customFormat="1" ht="8.1999999999999993" customHeight="1" thickBot="1" x14ac:dyDescent="0.45">
      <c r="B31" s="83"/>
      <c r="C31" s="83"/>
      <c r="D31" s="83"/>
      <c r="E31" s="83"/>
      <c r="F31" s="57"/>
      <c r="G31" s="57"/>
      <c r="H31" s="84"/>
      <c r="I31" s="84"/>
      <c r="J31" s="84"/>
      <c r="K31" s="84"/>
      <c r="L31" s="84"/>
      <c r="M31" s="84"/>
      <c r="N31" s="84"/>
    </row>
    <row r="32" spans="2:14" s="1" customFormat="1" ht="8.1999999999999993" customHeight="1" x14ac:dyDescent="0.4">
      <c r="B32" s="19"/>
      <c r="C32" s="19"/>
      <c r="D32" s="19"/>
      <c r="E32" s="19"/>
      <c r="F32" s="13"/>
      <c r="G32" s="13"/>
      <c r="H32" s="66"/>
      <c r="N32" s="66"/>
    </row>
    <row r="33" spans="2:14" s="1" customFormat="1" ht="12.75" customHeight="1" x14ac:dyDescent="0.4">
      <c r="B33" s="238" t="s">
        <v>35</v>
      </c>
      <c r="C33" s="239"/>
      <c r="D33" s="239"/>
      <c r="E33" s="239"/>
      <c r="F33" s="239"/>
      <c r="G33" s="85"/>
      <c r="H33" s="66"/>
      <c r="N33" s="66"/>
    </row>
    <row r="34" spans="2:14" s="1" customFormat="1" ht="8.1999999999999993" customHeight="1" x14ac:dyDescent="0.4">
      <c r="B34" s="19"/>
      <c r="C34" s="19"/>
      <c r="D34" s="19"/>
      <c r="E34" s="19"/>
      <c r="F34" s="13"/>
      <c r="G34" s="13"/>
      <c r="H34" s="66"/>
      <c r="N34" s="66"/>
    </row>
    <row r="35" spans="2:14" s="1" customFormat="1" ht="12.75" customHeight="1" x14ac:dyDescent="0.4">
      <c r="B35" s="19" t="s">
        <v>9</v>
      </c>
      <c r="C35" s="5"/>
      <c r="D35" s="5"/>
      <c r="E35" s="5"/>
      <c r="F35" s="13"/>
      <c r="G35" s="13"/>
      <c r="H35" s="237" t="s">
        <v>38</v>
      </c>
      <c r="I35" s="237"/>
      <c r="J35" s="237"/>
      <c r="K35" s="237"/>
      <c r="L35" s="2"/>
      <c r="N35" s="93" t="s">
        <v>0</v>
      </c>
    </row>
    <row r="36" spans="2:14" s="1" customFormat="1" ht="12.75" customHeight="1" x14ac:dyDescent="0.4">
      <c r="B36"/>
      <c r="C36" s="5" t="s">
        <v>37</v>
      </c>
      <c r="D36" s="5"/>
      <c r="E36" s="130">
        <v>0.7</v>
      </c>
      <c r="F36" s="13"/>
      <c r="G36" s="13"/>
      <c r="H36" s="22">
        <f>H30*-E36</f>
        <v>1854999.9999999998</v>
      </c>
      <c r="I36" s="22">
        <f>I30*-E36</f>
        <v>230999.99999999997</v>
      </c>
      <c r="J36" s="22">
        <f t="shared" ref="J36:K36" si="7">J30*-F36</f>
        <v>0</v>
      </c>
      <c r="K36" s="22">
        <f t="shared" si="7"/>
        <v>0</v>
      </c>
      <c r="L36" s="2"/>
      <c r="N36" s="22">
        <f>SUM(H36:K36)</f>
        <v>2085999.9999999998</v>
      </c>
    </row>
    <row r="37" spans="2:14" s="1" customFormat="1" ht="12.75" customHeight="1" x14ac:dyDescent="0.4">
      <c r="B37"/>
      <c r="C37" s="5" t="s">
        <v>4</v>
      </c>
      <c r="D37" s="5"/>
      <c r="E37" s="5"/>
      <c r="F37" s="13"/>
      <c r="G37" s="13"/>
      <c r="H37" s="80">
        <f>-H30-H36</f>
        <v>795000.00000000023</v>
      </c>
      <c r="I37" s="80">
        <f>-I30-I36</f>
        <v>99000.000000000029</v>
      </c>
      <c r="J37" s="80">
        <f t="shared" ref="J37:K37" si="8">-J30-J36</f>
        <v>0</v>
      </c>
      <c r="K37" s="80">
        <f t="shared" si="8"/>
        <v>0</v>
      </c>
      <c r="L37" s="2"/>
      <c r="N37" s="80">
        <f>SUM(H37:K37)</f>
        <v>894000.00000000023</v>
      </c>
    </row>
    <row r="38" spans="2:14" s="1" customFormat="1" ht="8.1999999999999993" customHeight="1" x14ac:dyDescent="0.4">
      <c r="B38"/>
      <c r="C38" s="5"/>
      <c r="D38" s="5"/>
      <c r="E38" s="5"/>
      <c r="F38" s="13"/>
      <c r="G38" s="13"/>
      <c r="H38" s="81"/>
      <c r="L38" s="2"/>
      <c r="N38" s="81"/>
    </row>
    <row r="39" spans="2:14" s="1" customFormat="1" ht="12.75" customHeight="1" x14ac:dyDescent="0.4">
      <c r="B39" s="69" t="s">
        <v>36</v>
      </c>
      <c r="C39" s="70"/>
      <c r="D39" s="70"/>
      <c r="E39" s="70"/>
      <c r="F39" s="71"/>
      <c r="G39" s="71"/>
      <c r="H39" s="82"/>
      <c r="I39" s="82"/>
      <c r="J39" s="82"/>
      <c r="K39" s="82"/>
      <c r="L39" s="2"/>
      <c r="N39" s="82">
        <f>N36+N37</f>
        <v>2980000</v>
      </c>
    </row>
    <row r="40" spans="2:14" s="1" customFormat="1" ht="12.75" customHeight="1" x14ac:dyDescent="0.4">
      <c r="B40"/>
      <c r="C40" s="5"/>
      <c r="D40" s="5"/>
      <c r="E40" s="5"/>
      <c r="F40" s="13"/>
      <c r="G40" s="13"/>
      <c r="H40" s="81"/>
      <c r="N40" s="81"/>
    </row>
    <row r="42" spans="2:14" ht="12.75" customHeight="1" x14ac:dyDescent="0.4">
      <c r="B42" s="19" t="s">
        <v>91</v>
      </c>
      <c r="J42" s="129"/>
    </row>
    <row r="43" spans="2:14" ht="12.75" customHeight="1" x14ac:dyDescent="0.4">
      <c r="C43" s="5" t="s">
        <v>92</v>
      </c>
      <c r="F43" s="130"/>
      <c r="G43" s="130">
        <v>0.05</v>
      </c>
    </row>
    <row r="44" spans="2:14" ht="12.75" customHeight="1" x14ac:dyDescent="0.4">
      <c r="C44" s="5" t="s">
        <v>93</v>
      </c>
      <c r="F44" s="16"/>
      <c r="G44" s="175">
        <v>1</v>
      </c>
    </row>
    <row r="45" spans="2:14" ht="12.75" customHeight="1" x14ac:dyDescent="0.4">
      <c r="C45" s="5" t="s">
        <v>94</v>
      </c>
      <c r="G45" s="117">
        <f>ROUND((((N36*G43)*G44)*0.6),-4)</f>
        <v>60000</v>
      </c>
    </row>
    <row r="46" spans="2:14" ht="12.75" customHeight="1" x14ac:dyDescent="0.35">
      <c r="G46" s="176"/>
    </row>
  </sheetData>
  <mergeCells count="4">
    <mergeCell ref="H5:N5"/>
    <mergeCell ref="B8:F8"/>
    <mergeCell ref="B33:F33"/>
    <mergeCell ref="H35:K35"/>
  </mergeCells>
  <printOptions horizontalCentered="1"/>
  <pageMargins left="0.5" right="0.5" top="0.75" bottom="0.75" header="0.5" footer="0.5"/>
  <pageSetup scale="6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EDCCD-0D54-4214-8B04-B11A78E64A88}">
  <sheetPr>
    <pageSetUpPr fitToPage="1"/>
  </sheetPr>
  <dimension ref="B1:AA78"/>
  <sheetViews>
    <sheetView showGridLines="0" topLeftCell="A38" zoomScale="150" zoomScaleNormal="150" workbookViewId="0">
      <selection activeCell="A65" sqref="A65:XFD65"/>
    </sheetView>
  </sheetViews>
  <sheetFormatPr defaultRowHeight="12.75" customHeight="1" x14ac:dyDescent="0.35"/>
  <cols>
    <col min="1" max="1" width="0.796875" customWidth="1"/>
    <col min="2" max="3" width="1.796875" customWidth="1"/>
    <col min="4" max="4" width="4.796875" customWidth="1"/>
    <col min="5" max="5" width="15.796875" customWidth="1"/>
    <col min="6" max="6" width="6.796875" customWidth="1"/>
    <col min="7" max="7" width="1.796875" customWidth="1"/>
    <col min="8" max="8" width="12.796875" customWidth="1"/>
    <col min="9" max="10" width="7.796875" customWidth="1"/>
    <col min="11" max="22" width="11.796875" customWidth="1"/>
  </cols>
  <sheetData>
    <row r="1" spans="2:22" ht="15" customHeight="1" x14ac:dyDescent="0.5">
      <c r="B1" s="11" t="str">
        <f>'Net Operating Income'!B1</f>
        <v xml:space="preserve">Vet Village- Affordable Housing </v>
      </c>
      <c r="C1" s="11"/>
      <c r="D1" s="11"/>
      <c r="E1" s="11"/>
      <c r="F1" s="11"/>
      <c r="G1" s="11"/>
      <c r="H1" s="11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2:22" ht="15" customHeight="1" x14ac:dyDescent="0.5">
      <c r="B2" s="68" t="s">
        <v>121</v>
      </c>
      <c r="C2" s="11"/>
      <c r="D2" s="11"/>
      <c r="E2" s="11"/>
      <c r="F2" s="11"/>
      <c r="G2" s="11"/>
      <c r="H2" s="11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</row>
    <row r="3" spans="2:22" ht="8.1999999999999993" customHeight="1" x14ac:dyDescent="0.5">
      <c r="B3" s="11"/>
      <c r="C3" s="9"/>
      <c r="D3" s="9"/>
      <c r="E3" s="9"/>
      <c r="F3" s="9"/>
      <c r="G3" s="9"/>
      <c r="H3" s="9"/>
    </row>
    <row r="4" spans="2:22" s="31" customFormat="1" ht="12.75" customHeight="1" x14ac:dyDescent="0.4">
      <c r="B4" s="40"/>
      <c r="C4" s="40"/>
      <c r="D4" s="40"/>
      <c r="E4" s="40"/>
      <c r="F4" s="40"/>
      <c r="G4" s="40"/>
      <c r="K4" s="26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2:22" ht="12.75" customHeight="1" x14ac:dyDescent="0.4">
      <c r="B5" s="5"/>
      <c r="C5" s="5"/>
      <c r="D5" s="5"/>
      <c r="E5" s="5"/>
      <c r="F5" s="5"/>
      <c r="G5" s="5"/>
      <c r="K5" s="242" t="s">
        <v>1</v>
      </c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</row>
    <row r="6" spans="2:22" s="10" customFormat="1" ht="12.75" customHeight="1" x14ac:dyDescent="0.4">
      <c r="B6" s="46"/>
      <c r="C6" s="44"/>
      <c r="D6" s="44"/>
      <c r="E6" s="44"/>
      <c r="F6" s="28"/>
      <c r="G6" s="28"/>
      <c r="K6" s="116">
        <v>0</v>
      </c>
      <c r="L6" s="41">
        <v>1</v>
      </c>
      <c r="M6" s="42">
        <f>L6+1</f>
        <v>2</v>
      </c>
      <c r="N6" s="42">
        <f t="shared" ref="N6:V6" si="0">M6+1</f>
        <v>3</v>
      </c>
      <c r="O6" s="42">
        <f t="shared" si="0"/>
        <v>4</v>
      </c>
      <c r="P6" s="42">
        <f t="shared" si="0"/>
        <v>5</v>
      </c>
      <c r="Q6" s="43">
        <f t="shared" si="0"/>
        <v>6</v>
      </c>
      <c r="R6" s="43">
        <f t="shared" si="0"/>
        <v>7</v>
      </c>
      <c r="S6" s="43">
        <f t="shared" si="0"/>
        <v>8</v>
      </c>
      <c r="T6" s="43">
        <f t="shared" si="0"/>
        <v>9</v>
      </c>
      <c r="U6" s="43">
        <f t="shared" si="0"/>
        <v>10</v>
      </c>
      <c r="V6" s="43">
        <f t="shared" si="0"/>
        <v>11</v>
      </c>
    </row>
    <row r="7" spans="2:22" s="1" customFormat="1" ht="4.05" customHeight="1" x14ac:dyDescent="0.4">
      <c r="B7" s="39"/>
      <c r="C7" s="8"/>
      <c r="D7" s="8"/>
      <c r="E7" s="8"/>
      <c r="F7" s="8"/>
      <c r="G7" s="8"/>
      <c r="H7" s="8"/>
      <c r="I7" s="14"/>
      <c r="J7" s="13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2:22" s="1" customFormat="1" ht="12.75" customHeight="1" x14ac:dyDescent="0.4">
      <c r="B8" s="38" t="s">
        <v>19</v>
      </c>
      <c r="C8" s="32"/>
      <c r="D8" s="32"/>
      <c r="E8" s="33"/>
      <c r="F8" s="8"/>
      <c r="G8" s="8"/>
      <c r="H8" s="8"/>
      <c r="I8" s="14"/>
      <c r="J8" s="13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2:22" s="1" customFormat="1" ht="4.05" customHeight="1" x14ac:dyDescent="0.4">
      <c r="B9" s="39"/>
      <c r="C9" s="8"/>
      <c r="D9" s="8"/>
      <c r="E9" s="8"/>
      <c r="F9" s="8"/>
      <c r="G9" s="8"/>
      <c r="H9" s="8"/>
      <c r="I9" s="14"/>
      <c r="J9" s="13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2:22" s="1" customFormat="1" ht="12.75" customHeight="1" x14ac:dyDescent="0.4">
      <c r="B10" s="19" t="s">
        <v>19</v>
      </c>
      <c r="C10" s="19"/>
      <c r="D10" s="19"/>
      <c r="E10" s="19"/>
      <c r="F10" s="19"/>
      <c r="G10" s="19"/>
      <c r="I10" s="14"/>
      <c r="J10" s="13"/>
      <c r="K10" s="245" t="s">
        <v>40</v>
      </c>
      <c r="L10" s="245"/>
      <c r="M10" s="113"/>
      <c r="N10" s="92"/>
      <c r="O10" s="12"/>
      <c r="P10" s="12"/>
      <c r="Q10" s="12"/>
      <c r="R10" s="12"/>
      <c r="S10" s="12"/>
      <c r="T10" s="12"/>
      <c r="U10" s="12"/>
      <c r="V10" s="12"/>
    </row>
    <row r="11" spans="2:22" s="1" customFormat="1" ht="12.75" customHeight="1" x14ac:dyDescent="0.4">
      <c r="B11" s="19"/>
      <c r="C11" s="5" t="s">
        <v>39</v>
      </c>
      <c r="D11" s="5"/>
      <c r="E11" s="5"/>
      <c r="F11" s="5"/>
      <c r="G11" s="5"/>
      <c r="I11" s="14"/>
      <c r="J11" s="13"/>
      <c r="K11" s="15">
        <f>'Project Costs &amp; Capital (L)'!H15</f>
        <v>-2650000</v>
      </c>
      <c r="L11" s="15">
        <f>'Project Costs &amp; Capital (L)'!I15</f>
        <v>0</v>
      </c>
      <c r="M11" s="94"/>
      <c r="N11" s="94"/>
      <c r="O11" s="95"/>
      <c r="P11" s="95"/>
      <c r="Q11" s="95"/>
      <c r="R11" s="95"/>
      <c r="S11" s="95"/>
      <c r="T11" s="95"/>
      <c r="U11" s="95"/>
      <c r="V11" s="95"/>
    </row>
    <row r="12" spans="2:22" s="1" customFormat="1" ht="12.75" customHeight="1" x14ac:dyDescent="0.4">
      <c r="B12"/>
      <c r="C12" s="5" t="s">
        <v>25</v>
      </c>
      <c r="D12" s="5"/>
      <c r="E12" s="5"/>
      <c r="F12" s="48"/>
      <c r="G12" s="5"/>
      <c r="I12" s="14"/>
      <c r="J12" s="13"/>
      <c r="K12" s="16">
        <f>'Project Costs &amp; Capital (L)'!H21</f>
        <v>0</v>
      </c>
      <c r="L12" s="16">
        <f>'Project Costs &amp; Capital (L)'!I21</f>
        <v>-250000</v>
      </c>
      <c r="M12" s="96"/>
      <c r="N12" s="96"/>
      <c r="O12" s="95"/>
      <c r="P12" s="95"/>
      <c r="Q12" s="95"/>
      <c r="R12" s="95"/>
      <c r="S12" s="95"/>
      <c r="T12" s="95"/>
      <c r="U12" s="95"/>
      <c r="V12" s="95"/>
    </row>
    <row r="13" spans="2:22" s="1" customFormat="1" ht="12.75" customHeight="1" x14ac:dyDescent="0.4">
      <c r="B13"/>
      <c r="C13" s="5" t="s">
        <v>30</v>
      </c>
      <c r="D13" s="5"/>
      <c r="E13" s="5"/>
      <c r="F13" s="5"/>
      <c r="G13" s="5"/>
      <c r="I13" s="14"/>
      <c r="J13" s="13"/>
      <c r="K13" s="16">
        <f>'Project Costs &amp; Capital (L)'!H26</f>
        <v>0</v>
      </c>
      <c r="L13" s="16">
        <f>'Project Costs &amp; Capital (L)'!I26</f>
        <v>-80000</v>
      </c>
      <c r="M13" s="96"/>
      <c r="N13" s="96"/>
      <c r="O13" s="95"/>
      <c r="P13" s="95"/>
      <c r="Q13" s="95"/>
      <c r="R13" s="95"/>
      <c r="S13" s="95"/>
      <c r="T13" s="95"/>
      <c r="U13" s="95"/>
      <c r="V13" s="95"/>
    </row>
    <row r="14" spans="2:22" s="1" customFormat="1" ht="12.75" customHeight="1" x14ac:dyDescent="0.4">
      <c r="B14"/>
      <c r="C14" s="5" t="s">
        <v>32</v>
      </c>
      <c r="D14" s="5"/>
      <c r="E14" s="5"/>
      <c r="F14" s="48"/>
      <c r="G14" s="5"/>
      <c r="I14" s="14"/>
      <c r="J14" s="13"/>
      <c r="K14" s="80">
        <f>'Project Costs &amp; Capital (L)'!H28</f>
        <v>0</v>
      </c>
      <c r="L14" s="80">
        <f>'Project Costs &amp; Capital (L)'!I28</f>
        <v>0</v>
      </c>
      <c r="M14" s="98"/>
      <c r="N14" s="98"/>
      <c r="O14" s="95"/>
      <c r="P14" s="95"/>
      <c r="Q14" s="95"/>
      <c r="R14" s="95"/>
      <c r="S14" s="95"/>
      <c r="T14" s="95"/>
      <c r="U14" s="95"/>
      <c r="V14" s="95"/>
    </row>
    <row r="15" spans="2:22" s="1" customFormat="1" ht="12.75" customHeight="1" x14ac:dyDescent="0.4">
      <c r="B15" s="145" t="s">
        <v>3</v>
      </c>
      <c r="C15" s="145"/>
      <c r="D15" s="145"/>
      <c r="E15" s="145"/>
      <c r="F15" s="145"/>
      <c r="G15" s="145"/>
      <c r="H15" s="189"/>
      <c r="I15" s="190"/>
      <c r="J15" s="191"/>
      <c r="K15" s="192">
        <f>SUM(K11:K14)</f>
        <v>-2650000</v>
      </c>
      <c r="L15" s="192">
        <f t="shared" ref="L15" si="1">SUM(L11:L14)</f>
        <v>-330000</v>
      </c>
      <c r="M15" s="97"/>
      <c r="N15" s="97"/>
      <c r="O15" s="95"/>
      <c r="P15" s="95"/>
      <c r="Q15" s="95"/>
      <c r="R15" s="95"/>
      <c r="S15" s="95"/>
      <c r="T15" s="95"/>
      <c r="U15" s="95"/>
      <c r="V15" s="95"/>
    </row>
    <row r="16" spans="2:22" s="1" customFormat="1" ht="12.75" customHeight="1" x14ac:dyDescent="0.4">
      <c r="B16" s="19"/>
      <c r="C16" s="34" t="s">
        <v>102</v>
      </c>
      <c r="D16" s="19"/>
      <c r="E16" s="19"/>
      <c r="F16" s="19"/>
      <c r="G16" s="19"/>
      <c r="I16" s="14"/>
      <c r="J16" s="13"/>
      <c r="K16" s="179">
        <f>'Project Costs &amp; Capital (L)'!H36</f>
        <v>1854999.9999999998</v>
      </c>
      <c r="L16" s="179">
        <f>+K16+'Project Costs &amp; Capital (L)'!I36</f>
        <v>2085999.9999999998</v>
      </c>
      <c r="M16" s="97"/>
      <c r="N16" s="97"/>
      <c r="O16" s="95"/>
      <c r="P16" s="95"/>
      <c r="Q16" s="95"/>
      <c r="R16" s="95"/>
      <c r="S16" s="95"/>
      <c r="T16" s="95"/>
      <c r="U16" s="95"/>
      <c r="V16" s="95"/>
    </row>
    <row r="17" spans="2:24" s="1" customFormat="1" ht="12.75" customHeight="1" x14ac:dyDescent="0.4">
      <c r="B17" s="19"/>
      <c r="C17" s="34" t="s">
        <v>102</v>
      </c>
      <c r="D17" s="19"/>
      <c r="E17" s="19"/>
      <c r="F17" s="19"/>
      <c r="G17" s="19"/>
      <c r="I17" s="14"/>
      <c r="J17" s="13"/>
      <c r="K17" s="196">
        <f>'Project Costs &amp; Capital (L)'!H37</f>
        <v>795000.00000000023</v>
      </c>
      <c r="L17" s="196">
        <f>'Project Costs &amp; Capital (L)'!I37</f>
        <v>99000.000000000029</v>
      </c>
      <c r="M17" s="97"/>
      <c r="N17" s="97"/>
      <c r="O17" s="95"/>
      <c r="P17" s="95"/>
      <c r="Q17" s="95"/>
      <c r="R17" s="95"/>
      <c r="S17" s="95"/>
      <c r="T17" s="95"/>
      <c r="U17" s="95"/>
      <c r="V17" s="95"/>
    </row>
    <row r="18" spans="2:24" s="1" customFormat="1" ht="8.1999999999999993" customHeight="1" thickBot="1" x14ac:dyDescent="0.45">
      <c r="B18" s="54"/>
      <c r="C18" s="55"/>
      <c r="D18" s="55"/>
      <c r="E18" s="55"/>
      <c r="F18" s="55"/>
      <c r="G18" s="55"/>
      <c r="H18" s="55"/>
      <c r="I18" s="56"/>
      <c r="J18" s="57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</row>
    <row r="19" spans="2:24" s="1" customFormat="1" ht="8.1999999999999993" customHeight="1" x14ac:dyDescent="0.4">
      <c r="B19" s="39"/>
      <c r="C19" s="8"/>
      <c r="D19" s="8"/>
      <c r="E19" s="8"/>
      <c r="F19" s="8"/>
      <c r="G19" s="8"/>
      <c r="H19" s="8"/>
      <c r="I19" s="14"/>
      <c r="J19" s="13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spans="2:24" s="1" customFormat="1" ht="12.75" customHeight="1" x14ac:dyDescent="0.4">
      <c r="B20" s="38" t="s">
        <v>7</v>
      </c>
      <c r="C20" s="32"/>
      <c r="D20" s="32"/>
      <c r="E20" s="33"/>
      <c r="F20" s="8"/>
      <c r="G20" s="8"/>
      <c r="H20" s="8"/>
      <c r="I20" s="14"/>
      <c r="J20" s="13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2" spans="2:24" ht="12.75" customHeight="1" x14ac:dyDescent="0.4">
      <c r="C22" s="5" t="s">
        <v>5</v>
      </c>
      <c r="D22" s="5"/>
      <c r="E22" s="5"/>
      <c r="F22" s="5"/>
      <c r="G22" s="5"/>
      <c r="H22" s="5"/>
      <c r="I22" s="5"/>
      <c r="J22" s="5"/>
      <c r="K22" s="23">
        <f>'Net Operating Income'!M14</f>
        <v>0</v>
      </c>
      <c r="L22" s="22">
        <f>'Net Operating Income'!N14</f>
        <v>0</v>
      </c>
      <c r="M22" s="22">
        <f>'Net Operating Income'!O14</f>
        <v>250000</v>
      </c>
      <c r="N22" s="22">
        <f>'Net Operating Income'!P14</f>
        <v>250000</v>
      </c>
      <c r="O22" s="22">
        <f>'Net Operating Income'!Q14</f>
        <v>250000</v>
      </c>
      <c r="P22" s="22">
        <f>'Net Operating Income'!R14</f>
        <v>250000</v>
      </c>
      <c r="Q22" s="22">
        <f>'Net Operating Income'!S14</f>
        <v>250000</v>
      </c>
      <c r="R22" s="22">
        <f>'Net Operating Income'!T14</f>
        <v>275000</v>
      </c>
      <c r="S22" s="22">
        <f>'Net Operating Income'!U14</f>
        <v>275000</v>
      </c>
      <c r="T22" s="22">
        <f>'Net Operating Income'!V14</f>
        <v>275000</v>
      </c>
      <c r="U22" s="22">
        <f>'Net Operating Income'!W14</f>
        <v>275000</v>
      </c>
      <c r="V22" s="22">
        <f>'Net Operating Income'!X14</f>
        <v>275000</v>
      </c>
    </row>
    <row r="23" spans="2:24" ht="4.05" customHeight="1" x14ac:dyDescent="0.4">
      <c r="C23" s="5"/>
      <c r="D23" s="5"/>
      <c r="E23" s="5"/>
      <c r="F23" s="5"/>
      <c r="G23" s="5"/>
      <c r="H23" s="5"/>
      <c r="I23" s="5"/>
      <c r="J23" s="5"/>
      <c r="K23" s="23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</row>
    <row r="24" spans="2:24" ht="12.75" customHeight="1" x14ac:dyDescent="0.4">
      <c r="C24" s="5"/>
      <c r="D24" s="5" t="s">
        <v>2</v>
      </c>
      <c r="E24" s="5" t="s">
        <v>51</v>
      </c>
      <c r="F24" s="114"/>
      <c r="G24" s="5"/>
      <c r="H24" s="5"/>
      <c r="I24" s="5"/>
      <c r="J24" s="5"/>
      <c r="K24" s="107">
        <f>'Net Operating Income'!M19</f>
        <v>0</v>
      </c>
      <c r="L24" s="80">
        <f>'Net Operating Income'!N19</f>
        <v>0</v>
      </c>
      <c r="M24" s="80">
        <f>'Net Operating Income'!O19</f>
        <v>0</v>
      </c>
      <c r="N24" s="80">
        <f>'Net Operating Income'!P19</f>
        <v>0</v>
      </c>
      <c r="O24" s="80">
        <f>'Net Operating Income'!Q19</f>
        <v>0</v>
      </c>
      <c r="P24" s="80">
        <f>'Net Operating Income'!R19</f>
        <v>0</v>
      </c>
      <c r="Q24" s="80">
        <f>'Net Operating Income'!S19</f>
        <v>0</v>
      </c>
      <c r="R24" s="80">
        <f>'Net Operating Income'!T19</f>
        <v>0</v>
      </c>
      <c r="S24" s="80">
        <f>'Net Operating Income'!U19</f>
        <v>0</v>
      </c>
      <c r="T24" s="80">
        <f>'Net Operating Income'!V19</f>
        <v>0</v>
      </c>
      <c r="U24" s="80">
        <f>'Net Operating Income'!W19</f>
        <v>0</v>
      </c>
      <c r="V24" s="80">
        <f>'Net Operating Income'!X19</f>
        <v>0</v>
      </c>
    </row>
    <row r="25" spans="2:24" ht="4.05" customHeight="1" x14ac:dyDescent="0.4">
      <c r="C25" s="5"/>
      <c r="D25" s="5"/>
      <c r="E25" s="5"/>
      <c r="F25" s="114"/>
      <c r="G25" s="5"/>
      <c r="H25" s="5"/>
      <c r="I25" s="5"/>
      <c r="J25" s="5"/>
      <c r="K25" s="18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</row>
    <row r="26" spans="2:24" s="35" customFormat="1" ht="12.75" customHeight="1" x14ac:dyDescent="0.4">
      <c r="C26" s="5" t="s">
        <v>53</v>
      </c>
      <c r="D26" s="5"/>
      <c r="E26" s="5"/>
      <c r="F26" s="5"/>
      <c r="G26" s="5"/>
      <c r="H26" s="5"/>
      <c r="I26" s="5"/>
      <c r="J26" s="5"/>
      <c r="K26" s="23">
        <f>SUM(K22:K24)</f>
        <v>0</v>
      </c>
      <c r="L26" s="22">
        <f t="shared" ref="L26:V26" si="2">SUM(L22:L24)</f>
        <v>0</v>
      </c>
      <c r="M26" s="22">
        <f t="shared" si="2"/>
        <v>250000</v>
      </c>
      <c r="N26" s="22">
        <f t="shared" si="2"/>
        <v>250000</v>
      </c>
      <c r="O26" s="22">
        <f t="shared" si="2"/>
        <v>250000</v>
      </c>
      <c r="P26" s="22">
        <f t="shared" si="2"/>
        <v>250000</v>
      </c>
      <c r="Q26" s="22">
        <f t="shared" si="2"/>
        <v>250000</v>
      </c>
      <c r="R26" s="22">
        <f t="shared" si="2"/>
        <v>275000</v>
      </c>
      <c r="S26" s="22">
        <f t="shared" si="2"/>
        <v>275000</v>
      </c>
      <c r="T26" s="22">
        <f t="shared" si="2"/>
        <v>275000</v>
      </c>
      <c r="U26" s="22">
        <f t="shared" si="2"/>
        <v>275000</v>
      </c>
      <c r="V26" s="22">
        <f t="shared" si="2"/>
        <v>275000</v>
      </c>
    </row>
    <row r="27" spans="2:24" s="35" customFormat="1" ht="4.05" customHeight="1" x14ac:dyDescent="0.4">
      <c r="C27" s="5"/>
      <c r="D27" s="5"/>
      <c r="E27" s="5"/>
      <c r="F27" s="5"/>
      <c r="G27" s="5"/>
      <c r="H27" s="5"/>
      <c r="I27" s="5"/>
      <c r="J27" s="5"/>
      <c r="K27" s="23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</row>
    <row r="28" spans="2:24" s="35" customFormat="1" ht="12.75" customHeight="1" x14ac:dyDescent="0.4">
      <c r="C28" s="19"/>
      <c r="D28" s="5" t="s">
        <v>2</v>
      </c>
      <c r="E28" s="5" t="s">
        <v>54</v>
      </c>
      <c r="F28" s="19"/>
      <c r="G28" s="19"/>
      <c r="H28" s="19"/>
      <c r="I28" s="19"/>
      <c r="J28" s="19"/>
      <c r="K28" s="107">
        <f>'Net Operating Income'!M26</f>
        <v>0</v>
      </c>
      <c r="L28" s="80">
        <f>'Net Operating Income'!N26</f>
        <v>0</v>
      </c>
      <c r="M28" s="80">
        <f>'Net Operating Income'!O26</f>
        <v>-5000</v>
      </c>
      <c r="N28" s="80">
        <f>'Net Operating Income'!P26</f>
        <v>-5150</v>
      </c>
      <c r="O28" s="80">
        <f>'Net Operating Income'!Q26</f>
        <v>-5304.5</v>
      </c>
      <c r="P28" s="80">
        <f>'Net Operating Income'!R26</f>
        <v>-5463.6350000000002</v>
      </c>
      <c r="Q28" s="80">
        <f>'Net Operating Income'!S26</f>
        <v>-5627.5440500000004</v>
      </c>
      <c r="R28" s="80">
        <f>'Net Operating Income'!T26</f>
        <v>-5796.3703715000001</v>
      </c>
      <c r="S28" s="80">
        <f>'Net Operating Income'!U26</f>
        <v>-5970.2614826449999</v>
      </c>
      <c r="T28" s="80">
        <f>'Net Operating Income'!V26</f>
        <v>-6149.3693271243501</v>
      </c>
      <c r="U28" s="80">
        <f>'Net Operating Income'!W26</f>
        <v>-6333.8504069380806</v>
      </c>
      <c r="V28" s="80">
        <f>'Net Operating Income'!X26</f>
        <v>-6523.865919146223</v>
      </c>
    </row>
    <row r="29" spans="2:24" s="35" customFormat="1" ht="4.05" customHeight="1" x14ac:dyDescent="0.4">
      <c r="C29" s="19"/>
      <c r="D29" s="5"/>
      <c r="E29" s="5"/>
      <c r="F29" s="19"/>
      <c r="G29" s="19"/>
      <c r="H29" s="19"/>
      <c r="I29" s="19"/>
      <c r="J29" s="19"/>
      <c r="K29" s="18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</row>
    <row r="30" spans="2:24" s="35" customFormat="1" ht="12.75" customHeight="1" thickBot="1" x14ac:dyDescent="0.45">
      <c r="C30" s="73" t="s">
        <v>7</v>
      </c>
      <c r="D30" s="73"/>
      <c r="E30" s="73"/>
      <c r="F30" s="73"/>
      <c r="G30" s="73"/>
      <c r="H30" s="73"/>
      <c r="I30" s="73"/>
      <c r="J30" s="73"/>
      <c r="K30" s="187">
        <f>SUM(K26:K28)</f>
        <v>0</v>
      </c>
      <c r="L30" s="188">
        <f t="shared" ref="L30:V30" si="3">SUM(L26:L28)</f>
        <v>0</v>
      </c>
      <c r="M30" s="188">
        <f t="shared" si="3"/>
        <v>245000</v>
      </c>
      <c r="N30" s="188">
        <f t="shared" si="3"/>
        <v>244850</v>
      </c>
      <c r="O30" s="188">
        <f t="shared" si="3"/>
        <v>244695.5</v>
      </c>
      <c r="P30" s="188">
        <f t="shared" si="3"/>
        <v>244536.36499999999</v>
      </c>
      <c r="Q30" s="188">
        <f t="shared" si="3"/>
        <v>244372.45595</v>
      </c>
      <c r="R30" s="188">
        <f t="shared" si="3"/>
        <v>269203.62962850003</v>
      </c>
      <c r="S30" s="188">
        <f t="shared" si="3"/>
        <v>269029.738517355</v>
      </c>
      <c r="T30" s="188">
        <f t="shared" si="3"/>
        <v>268850.63067287568</v>
      </c>
      <c r="U30" s="188">
        <f t="shared" si="3"/>
        <v>268666.14959306194</v>
      </c>
      <c r="V30" s="188">
        <f t="shared" si="3"/>
        <v>268476.13408085378</v>
      </c>
      <c r="W30" s="185"/>
      <c r="X30" s="185"/>
    </row>
    <row r="31" spans="2:24" s="35" customFormat="1" ht="12.75" customHeight="1" thickTop="1" x14ac:dyDescent="0.4">
      <c r="C31" s="73"/>
      <c r="D31" s="197" t="s">
        <v>103</v>
      </c>
      <c r="E31" s="197"/>
      <c r="F31" s="198">
        <f>F54</f>
        <v>0.05</v>
      </c>
      <c r="G31" s="199"/>
      <c r="H31" s="199"/>
      <c r="I31" s="199"/>
      <c r="J31" s="199"/>
      <c r="K31" s="200">
        <f>ROUND((IF(K30&gt;0,K30/$F$31,0)),-3)</f>
        <v>0</v>
      </c>
      <c r="L31" s="201">
        <f t="shared" ref="L31:V31" si="4">ROUND((IF(L30&gt;0,L30/$F$31,0)),-3)</f>
        <v>0</v>
      </c>
      <c r="M31" s="201">
        <f t="shared" si="4"/>
        <v>4900000</v>
      </c>
      <c r="N31" s="201">
        <f t="shared" si="4"/>
        <v>4897000</v>
      </c>
      <c r="O31" s="201">
        <f t="shared" si="4"/>
        <v>4894000</v>
      </c>
      <c r="P31" s="201">
        <f t="shared" si="4"/>
        <v>4891000</v>
      </c>
      <c r="Q31" s="201">
        <f t="shared" si="4"/>
        <v>4887000</v>
      </c>
      <c r="R31" s="201">
        <f t="shared" si="4"/>
        <v>5384000</v>
      </c>
      <c r="S31" s="201">
        <f t="shared" si="4"/>
        <v>5381000</v>
      </c>
      <c r="T31" s="201">
        <f t="shared" si="4"/>
        <v>5377000</v>
      </c>
      <c r="U31" s="201">
        <f t="shared" si="4"/>
        <v>5373000</v>
      </c>
      <c r="V31" s="201">
        <f t="shared" si="4"/>
        <v>5370000</v>
      </c>
      <c r="W31" s="185"/>
      <c r="X31" s="185"/>
    </row>
    <row r="32" spans="2:24" ht="8.1999999999999993" customHeight="1" thickBot="1" x14ac:dyDescent="0.45">
      <c r="B32" s="25"/>
      <c r="C32" s="25"/>
      <c r="D32" s="25"/>
      <c r="E32" s="25"/>
      <c r="F32" s="25"/>
      <c r="G32" s="25"/>
      <c r="H32" s="25"/>
      <c r="I32" s="25"/>
      <c r="J32" s="25"/>
      <c r="K32" s="36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</row>
    <row r="33" spans="2:27" ht="8.1999999999999993" customHeight="1" x14ac:dyDescent="0.4">
      <c r="C33" s="5"/>
      <c r="D33" s="5"/>
      <c r="E33" s="5"/>
      <c r="F33" s="5"/>
      <c r="G33" s="5"/>
      <c r="H33" s="5"/>
      <c r="I33" s="5"/>
      <c r="J33" s="5"/>
      <c r="K33" s="7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2:27" ht="12.75" customHeight="1" x14ac:dyDescent="0.4">
      <c r="B34" s="38" t="s">
        <v>95</v>
      </c>
      <c r="C34" s="32"/>
      <c r="D34" s="32"/>
      <c r="E34" s="33"/>
      <c r="F34" s="5"/>
      <c r="G34" s="5"/>
      <c r="H34" s="5"/>
      <c r="I34" s="5"/>
      <c r="J34" s="5"/>
      <c r="K34" s="7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2:27" ht="4.05" customHeight="1" x14ac:dyDescent="0.4">
      <c r="C35" s="5"/>
      <c r="D35" s="5"/>
      <c r="E35" s="5"/>
      <c r="F35" s="5"/>
      <c r="G35" s="5"/>
      <c r="H35" s="5"/>
      <c r="I35" s="5"/>
      <c r="J35" s="5"/>
      <c r="K35" s="7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2:27" ht="12.75" customHeight="1" x14ac:dyDescent="0.4">
      <c r="C36" s="5" t="s">
        <v>2</v>
      </c>
      <c r="E36" s="5" t="s">
        <v>96</v>
      </c>
      <c r="F36" s="5"/>
      <c r="G36" s="5"/>
      <c r="H36" s="5"/>
      <c r="I36" s="5"/>
      <c r="J36" s="5"/>
      <c r="K36" s="182">
        <f>IF(AND(K30&gt;0,K6&lt;=$I$40),(-$L$16*'Project Costs &amp; Capital (L)'!$G$43),0)</f>
        <v>0</v>
      </c>
      <c r="L36" s="183">
        <f>IF(AND(L30&gt;0,L6&lt;=$I$40),(-$L$16*'Project Costs &amp; Capital (L)'!$G$43),0)</f>
        <v>0</v>
      </c>
      <c r="M36" s="183">
        <f>IF(AND(M30&gt;0,M6&lt;=$I$40),(-$L$16*'Project Costs &amp; Capital (L)'!$G$43),0)</f>
        <v>-104300</v>
      </c>
      <c r="N36" s="183">
        <f>IF(AND(N30&gt;0,N6&lt;=$I$40),(-$L$16*'Project Costs &amp; Capital (L)'!$G$43),0)</f>
        <v>-104300</v>
      </c>
      <c r="O36" s="183">
        <f>IF(AND(O30&gt;0,O6&lt;=$I$40),(-$L$16*'Project Costs &amp; Capital (L)'!$G$43),0)</f>
        <v>0</v>
      </c>
      <c r="P36" s="183">
        <f>IF(AND(P30&gt;0,P6&lt;=$I$40),(-$L$16*'Project Costs &amp; Capital (L)'!$G$43),0)</f>
        <v>0</v>
      </c>
      <c r="Q36" s="183">
        <f>IF(AND(Q30&gt;0,Q6&lt;=$I$40),(-$L$16*'Project Costs &amp; Capital (L)'!$G$43),0)</f>
        <v>0</v>
      </c>
      <c r="R36" s="183">
        <f>IF(AND(R30&gt;0,R6&lt;=$I$40),(-$L$16*'Project Costs &amp; Capital (L)'!$G$43),0)</f>
        <v>0</v>
      </c>
      <c r="S36" s="183">
        <f>IF(AND(S30&gt;0,S6&lt;=$I$40),(-$L$16*'Project Costs &amp; Capital (L)'!$G$43),0)</f>
        <v>0</v>
      </c>
      <c r="T36" s="183">
        <f>IF(AND(T30&gt;0,T6&lt;=$I$40),(-$L$16*'Project Costs &amp; Capital (L)'!$G$43),0)</f>
        <v>0</v>
      </c>
      <c r="U36" s="183">
        <f>IF(AND(U30&gt;0,U6&lt;=$I$40),(-$L$16*'Project Costs &amp; Capital (L)'!$G$43),0)</f>
        <v>0</v>
      </c>
      <c r="V36" s="183">
        <f>IF(AND(V30&gt;0,V6&lt;=$I$40),(-$L$16*'Project Costs &amp; Capital (L)'!$G$43),0)</f>
        <v>0</v>
      </c>
    </row>
    <row r="37" spans="2:27" ht="4.05" customHeight="1" x14ac:dyDescent="0.4">
      <c r="C37" s="5"/>
      <c r="E37" s="5"/>
      <c r="F37" s="67"/>
      <c r="G37" s="5"/>
      <c r="H37" s="5"/>
      <c r="I37" s="5"/>
      <c r="J37" s="5"/>
      <c r="K37" s="45"/>
      <c r="R37" s="81"/>
      <c r="S37" s="81"/>
      <c r="T37" s="81"/>
      <c r="U37" s="81"/>
      <c r="V37" s="81"/>
    </row>
    <row r="38" spans="2:27" s="59" customFormat="1" ht="12.75" customHeight="1" thickBot="1" x14ac:dyDescent="0.45">
      <c r="C38" s="145" t="s">
        <v>97</v>
      </c>
      <c r="D38" s="145"/>
      <c r="E38" s="145"/>
      <c r="F38" s="145"/>
      <c r="G38" s="145"/>
      <c r="H38" s="145"/>
      <c r="I38" s="145"/>
      <c r="J38" s="145"/>
      <c r="K38" s="146">
        <f>K30+K36</f>
        <v>0</v>
      </c>
      <c r="L38" s="147">
        <f t="shared" ref="L38:V38" si="5">L30+L36</f>
        <v>0</v>
      </c>
      <c r="M38" s="147">
        <f t="shared" si="5"/>
        <v>140700</v>
      </c>
      <c r="N38" s="147">
        <f t="shared" si="5"/>
        <v>140550</v>
      </c>
      <c r="O38" s="147">
        <f t="shared" si="5"/>
        <v>244695.5</v>
      </c>
      <c r="P38" s="147">
        <f t="shared" si="5"/>
        <v>244536.36499999999</v>
      </c>
      <c r="Q38" s="147">
        <f t="shared" si="5"/>
        <v>244372.45595</v>
      </c>
      <c r="R38" s="147">
        <f t="shared" si="5"/>
        <v>269203.62962850003</v>
      </c>
      <c r="S38" s="147">
        <f t="shared" si="5"/>
        <v>269029.738517355</v>
      </c>
      <c r="T38" s="147">
        <f t="shared" si="5"/>
        <v>268850.63067287568</v>
      </c>
      <c r="U38" s="147">
        <f t="shared" si="5"/>
        <v>268666.14959306194</v>
      </c>
      <c r="V38" s="147">
        <f t="shared" si="5"/>
        <v>268476.13408085378</v>
      </c>
      <c r="W38" s="35"/>
      <c r="X38" s="35"/>
      <c r="Y38" s="35"/>
    </row>
    <row r="39" spans="2:27" s="59" customFormat="1" ht="12.75" customHeight="1" thickTop="1" x14ac:dyDescent="0.4">
      <c r="C39" s="73"/>
      <c r="D39" s="73"/>
      <c r="E39" s="73"/>
      <c r="F39" s="73"/>
      <c r="G39" s="73"/>
      <c r="H39" s="73"/>
      <c r="I39" s="73"/>
      <c r="J39" s="73"/>
      <c r="K39" s="184"/>
      <c r="L39" s="170"/>
      <c r="M39" s="170"/>
      <c r="N39" s="170"/>
      <c r="O39" s="170"/>
      <c r="P39" s="170"/>
      <c r="Q39" s="170"/>
      <c r="R39" s="170"/>
      <c r="S39" s="170"/>
      <c r="T39" s="170"/>
      <c r="U39" s="170"/>
      <c r="V39" s="170"/>
      <c r="W39" s="185"/>
      <c r="X39" s="185"/>
      <c r="Y39" s="185"/>
      <c r="Z39" s="186"/>
      <c r="AA39" s="186"/>
    </row>
    <row r="40" spans="2:27" s="59" customFormat="1" ht="12.75" customHeight="1" x14ac:dyDescent="0.4">
      <c r="C40" s="19" t="s">
        <v>63</v>
      </c>
      <c r="D40" s="34"/>
      <c r="E40" s="34"/>
      <c r="F40" s="34"/>
      <c r="G40" s="34"/>
      <c r="H40" s="34"/>
      <c r="I40" s="53">
        <v>3</v>
      </c>
      <c r="J40" s="34"/>
      <c r="K40" s="24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</row>
    <row r="41" spans="2:27" s="59" customFormat="1" ht="12.75" customHeight="1" x14ac:dyDescent="0.4">
      <c r="C41" s="19" t="s">
        <v>10</v>
      </c>
      <c r="D41" s="5"/>
      <c r="E41" s="34"/>
      <c r="F41" s="34"/>
      <c r="G41" s="34"/>
      <c r="H41" s="34"/>
      <c r="I41" s="48">
        <v>0.05</v>
      </c>
      <c r="J41" s="34"/>
      <c r="K41" s="29">
        <f>IF(K6=$I$40,K36/$I$41,0)</f>
        <v>0</v>
      </c>
      <c r="L41" s="30">
        <f t="shared" ref="L41:V41" si="6">IF(L6=$I$40,L30/$I$41,0)</f>
        <v>0</v>
      </c>
      <c r="M41" s="30">
        <f t="shared" si="6"/>
        <v>0</v>
      </c>
      <c r="N41" s="30">
        <f t="shared" si="6"/>
        <v>4897000</v>
      </c>
      <c r="O41" s="30">
        <f t="shared" si="6"/>
        <v>0</v>
      </c>
      <c r="P41" s="30">
        <f t="shared" si="6"/>
        <v>0</v>
      </c>
      <c r="Q41" s="30">
        <f t="shared" si="6"/>
        <v>0</v>
      </c>
      <c r="R41" s="30">
        <f t="shared" si="6"/>
        <v>0</v>
      </c>
      <c r="S41" s="30">
        <f t="shared" si="6"/>
        <v>0</v>
      </c>
      <c r="T41" s="30">
        <f t="shared" si="6"/>
        <v>0</v>
      </c>
      <c r="U41" s="30">
        <f t="shared" si="6"/>
        <v>0</v>
      </c>
      <c r="V41" s="30">
        <f t="shared" si="6"/>
        <v>0</v>
      </c>
    </row>
    <row r="42" spans="2:27" s="59" customFormat="1" ht="12.75" customHeight="1" x14ac:dyDescent="0.4">
      <c r="C42" s="34"/>
      <c r="D42" s="5" t="s">
        <v>11</v>
      </c>
      <c r="E42" s="5" t="s">
        <v>13</v>
      </c>
      <c r="F42" s="34"/>
      <c r="G42" s="34"/>
      <c r="H42" s="34"/>
      <c r="I42" s="48">
        <v>0.04</v>
      </c>
      <c r="J42" s="34"/>
      <c r="K42" s="104">
        <f>IF(K41&gt;0,K41*-$I$42,0)</f>
        <v>0</v>
      </c>
      <c r="L42" s="61">
        <f>IF(L41&gt;0,L41*-$I$42,0)</f>
        <v>0</v>
      </c>
      <c r="M42" s="61">
        <f t="shared" ref="M42:V42" si="7">IF(M41&gt;0,M41*-$I$42,0)</f>
        <v>0</v>
      </c>
      <c r="N42" s="61">
        <f t="shared" si="7"/>
        <v>-195880</v>
      </c>
      <c r="O42" s="61">
        <f t="shared" si="7"/>
        <v>0</v>
      </c>
      <c r="P42" s="61">
        <f t="shared" si="7"/>
        <v>0</v>
      </c>
      <c r="Q42" s="61">
        <f t="shared" si="7"/>
        <v>0</v>
      </c>
      <c r="R42" s="61">
        <f t="shared" si="7"/>
        <v>0</v>
      </c>
      <c r="S42" s="61">
        <f t="shared" si="7"/>
        <v>0</v>
      </c>
      <c r="T42" s="61">
        <f t="shared" si="7"/>
        <v>0</v>
      </c>
      <c r="U42" s="61">
        <f t="shared" si="7"/>
        <v>0</v>
      </c>
      <c r="V42" s="61">
        <f t="shared" si="7"/>
        <v>0</v>
      </c>
    </row>
    <row r="43" spans="2:27" s="59" customFormat="1" ht="12.75" customHeight="1" x14ac:dyDescent="0.4">
      <c r="C43" s="34"/>
      <c r="D43" s="5" t="s">
        <v>11</v>
      </c>
      <c r="E43" s="5" t="s">
        <v>12</v>
      </c>
      <c r="F43" s="34"/>
      <c r="G43" s="34"/>
      <c r="H43" s="34"/>
      <c r="I43" s="34"/>
      <c r="J43" s="34"/>
      <c r="K43" s="106">
        <f>IF(K41&gt;0,-$L$16,0)</f>
        <v>0</v>
      </c>
      <c r="L43" s="62">
        <f t="shared" ref="L43:V43" si="8">IF(L41&gt;0,-$L$16,0)</f>
        <v>0</v>
      </c>
      <c r="M43" s="63">
        <f t="shared" si="8"/>
        <v>0</v>
      </c>
      <c r="N43" s="63">
        <f t="shared" si="8"/>
        <v>-2085999.9999999998</v>
      </c>
      <c r="O43" s="63">
        <f t="shared" si="8"/>
        <v>0</v>
      </c>
      <c r="P43" s="63">
        <f t="shared" si="8"/>
        <v>0</v>
      </c>
      <c r="Q43" s="63">
        <f t="shared" si="8"/>
        <v>0</v>
      </c>
      <c r="R43" s="63">
        <f t="shared" si="8"/>
        <v>0</v>
      </c>
      <c r="S43" s="63">
        <f t="shared" si="8"/>
        <v>0</v>
      </c>
      <c r="T43" s="63">
        <f t="shared" si="8"/>
        <v>0</v>
      </c>
      <c r="U43" s="63">
        <f t="shared" si="8"/>
        <v>0</v>
      </c>
      <c r="V43" s="63">
        <f t="shared" si="8"/>
        <v>0</v>
      </c>
    </row>
    <row r="44" spans="2:27" s="59" customFormat="1" ht="12.75" customHeight="1" x14ac:dyDescent="0.4">
      <c r="C44" s="145" t="s">
        <v>14</v>
      </c>
      <c r="D44" s="193"/>
      <c r="E44" s="193"/>
      <c r="F44" s="193"/>
      <c r="G44" s="193"/>
      <c r="H44" s="193"/>
      <c r="I44" s="193"/>
      <c r="J44" s="193"/>
      <c r="K44" s="194">
        <f>SUM(K41:K43)</f>
        <v>0</v>
      </c>
      <c r="L44" s="195">
        <f>SUM(L41:L43)</f>
        <v>0</v>
      </c>
      <c r="M44" s="195">
        <f t="shared" ref="M44:V44" si="9">SUM(M41:M43)</f>
        <v>0</v>
      </c>
      <c r="N44" s="195">
        <f>SUM(N41:N43)</f>
        <v>2615120</v>
      </c>
      <c r="O44" s="195">
        <f t="shared" si="9"/>
        <v>0</v>
      </c>
      <c r="P44" s="195">
        <f t="shared" si="9"/>
        <v>0</v>
      </c>
      <c r="Q44" s="195">
        <f t="shared" si="9"/>
        <v>0</v>
      </c>
      <c r="R44" s="195">
        <f t="shared" si="9"/>
        <v>0</v>
      </c>
      <c r="S44" s="195">
        <f t="shared" si="9"/>
        <v>0</v>
      </c>
      <c r="T44" s="195">
        <f t="shared" si="9"/>
        <v>0</v>
      </c>
      <c r="U44" s="195">
        <f t="shared" si="9"/>
        <v>0</v>
      </c>
      <c r="V44" s="195">
        <f t="shared" si="9"/>
        <v>0</v>
      </c>
    </row>
    <row r="45" spans="2:27" s="59" customFormat="1" ht="12.75" customHeight="1" x14ac:dyDescent="0.4">
      <c r="C45" s="19"/>
      <c r="D45" s="34"/>
      <c r="E45" s="34"/>
      <c r="F45" s="34"/>
      <c r="G45" s="34"/>
      <c r="H45" s="34"/>
      <c r="I45" s="34"/>
      <c r="J45" s="34"/>
      <c r="K45" s="24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</row>
    <row r="46" spans="2:27" s="59" customFormat="1" ht="12.75" customHeight="1" x14ac:dyDescent="0.4">
      <c r="C46" s="150" t="s">
        <v>101</v>
      </c>
      <c r="D46" s="151"/>
      <c r="E46" s="151"/>
      <c r="F46" s="151"/>
      <c r="G46" s="151"/>
      <c r="H46" s="151"/>
      <c r="I46" s="151"/>
      <c r="J46" s="151"/>
      <c r="K46" s="148">
        <f>IF(K6&lt;=$I$40,-K17+K38+K44,"")</f>
        <v>-795000.00000000023</v>
      </c>
      <c r="L46" s="149">
        <f t="shared" ref="L46:V46" si="10">IF(L6&lt;=$I$40,-L17+L38+L44,"")</f>
        <v>-99000.000000000029</v>
      </c>
      <c r="M46" s="149">
        <f t="shared" si="10"/>
        <v>140700</v>
      </c>
      <c r="N46" s="149">
        <f t="shared" si="10"/>
        <v>2755670</v>
      </c>
      <c r="O46" s="149" t="str">
        <f t="shared" si="10"/>
        <v/>
      </c>
      <c r="P46" s="149" t="str">
        <f t="shared" si="10"/>
        <v/>
      </c>
      <c r="Q46" s="149" t="str">
        <f t="shared" si="10"/>
        <v/>
      </c>
      <c r="R46" s="149" t="str">
        <f t="shared" si="10"/>
        <v/>
      </c>
      <c r="S46" s="149" t="str">
        <f t="shared" si="10"/>
        <v/>
      </c>
      <c r="T46" s="149" t="str">
        <f t="shared" si="10"/>
        <v/>
      </c>
      <c r="U46" s="149" t="str">
        <f t="shared" si="10"/>
        <v/>
      </c>
      <c r="V46" s="149" t="str">
        <f t="shared" si="10"/>
        <v/>
      </c>
    </row>
    <row r="47" spans="2:27" s="59" customFormat="1" ht="8.1999999999999993" customHeight="1" thickBot="1" x14ac:dyDescent="0.45">
      <c r="B47" s="25"/>
      <c r="C47" s="25"/>
      <c r="D47" s="25"/>
      <c r="E47" s="25"/>
      <c r="F47" s="25"/>
      <c r="G47" s="25"/>
      <c r="H47" s="25"/>
      <c r="I47" s="25"/>
      <c r="J47" s="25"/>
      <c r="K47" s="36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</row>
    <row r="48" spans="2:27" s="59" customFormat="1" ht="8.1999999999999993" customHeight="1" x14ac:dyDescent="0.4">
      <c r="B48"/>
      <c r="C48" s="5"/>
      <c r="D48" s="5"/>
      <c r="E48" s="5"/>
      <c r="F48" s="5"/>
      <c r="G48" s="5"/>
      <c r="H48" s="5"/>
      <c r="I48" s="5"/>
      <c r="J48" s="5"/>
      <c r="K48" s="7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2:22" s="59" customFormat="1" ht="12.75" customHeight="1" x14ac:dyDescent="0.4">
      <c r="B49" s="38" t="s">
        <v>18</v>
      </c>
      <c r="C49" s="32"/>
      <c r="D49" s="32"/>
      <c r="E49" s="33"/>
      <c r="I49" s="5"/>
      <c r="J49" s="5"/>
      <c r="K49" s="7"/>
      <c r="L49" s="5"/>
      <c r="M49" s="5"/>
      <c r="N49" s="5"/>
      <c r="O49" s="5"/>
      <c r="P49" s="248"/>
      <c r="Q49" s="248"/>
      <c r="R49" s="248"/>
      <c r="S49" s="5"/>
      <c r="T49" s="5"/>
      <c r="U49" s="5"/>
      <c r="V49" s="5"/>
    </row>
    <row r="50" spans="2:22" s="59" customFormat="1" ht="12.75" customHeight="1" x14ac:dyDescent="0.4">
      <c r="B50" s="46"/>
      <c r="C50" s="44"/>
      <c r="D50" s="44"/>
      <c r="E50" s="44"/>
      <c r="F50" s="244" t="s">
        <v>98</v>
      </c>
      <c r="G50" s="244"/>
      <c r="H50" s="244"/>
      <c r="I50" s="5"/>
      <c r="J50" s="5"/>
      <c r="K50" s="7"/>
      <c r="L50" s="5"/>
      <c r="M50" s="5"/>
      <c r="N50" s="5"/>
      <c r="O50" s="5"/>
      <c r="P50" s="173"/>
      <c r="Q50" s="173"/>
      <c r="R50" s="173"/>
      <c r="S50" s="5"/>
      <c r="T50" s="5"/>
      <c r="U50" s="5"/>
      <c r="V50" s="5"/>
    </row>
    <row r="51" spans="2:22" s="59" customFormat="1" ht="12.75" customHeight="1" x14ac:dyDescent="0.4">
      <c r="C51" s="19"/>
      <c r="D51" s="34"/>
      <c r="E51" s="34"/>
      <c r="F51" s="34"/>
      <c r="G51" s="34"/>
      <c r="H51" s="152" t="s">
        <v>82</v>
      </c>
      <c r="I51" s="34"/>
      <c r="J51" s="34"/>
      <c r="K51" s="153" t="s">
        <v>83</v>
      </c>
      <c r="L51" s="155" t="s">
        <v>17</v>
      </c>
      <c r="M51" s="156" t="s">
        <v>84</v>
      </c>
      <c r="N51" s="30"/>
      <c r="O51" s="30"/>
      <c r="P51" s="171"/>
      <c r="Q51" s="171"/>
      <c r="R51" s="171"/>
      <c r="S51" s="30"/>
      <c r="T51" s="30"/>
      <c r="U51" s="30"/>
      <c r="V51" s="30"/>
    </row>
    <row r="52" spans="2:22" s="59" customFormat="1" ht="12.75" customHeight="1" x14ac:dyDescent="0.4">
      <c r="B52" s="128"/>
      <c r="C52" s="19" t="s">
        <v>67</v>
      </c>
      <c r="D52" s="34"/>
      <c r="E52" s="34"/>
      <c r="F52" s="119">
        <f>F53-0.005</f>
        <v>4.0000000000000008E-2</v>
      </c>
      <c r="G52" s="34"/>
      <c r="H52" s="117">
        <f>$M$30/F52</f>
        <v>6124999.9999999991</v>
      </c>
      <c r="I52" s="137"/>
      <c r="J52" s="138"/>
      <c r="K52" s="154">
        <f>K53</f>
        <v>-2900000</v>
      </c>
      <c r="L52" s="30">
        <f t="shared" ref="L52:L53" si="11">H52+K52</f>
        <v>3224999.9999999991</v>
      </c>
      <c r="M52" s="157">
        <f t="shared" ref="M52:M53" si="12">L52/-K52</f>
        <v>1.1120689655172411</v>
      </c>
      <c r="N52" s="30"/>
      <c r="O52" s="30"/>
      <c r="P52" s="172"/>
      <c r="Q52" s="172"/>
      <c r="R52" s="172"/>
      <c r="S52" s="30"/>
      <c r="T52" s="30"/>
      <c r="U52" s="30"/>
      <c r="V52" s="30"/>
    </row>
    <row r="53" spans="2:22" s="59" customFormat="1" ht="12.75" customHeight="1" x14ac:dyDescent="0.4">
      <c r="C53" s="246"/>
      <c r="D53" s="247"/>
      <c r="E53" s="247"/>
      <c r="F53" s="119">
        <f>F54-0.005</f>
        <v>4.5000000000000005E-2</v>
      </c>
      <c r="G53" s="34"/>
      <c r="H53" s="117">
        <f t="shared" ref="H53:H56" si="13">$M$30/F53</f>
        <v>5444444.444444444</v>
      </c>
      <c r="I53" s="138"/>
      <c r="J53" s="138"/>
      <c r="K53" s="154">
        <f>K54</f>
        <v>-2900000</v>
      </c>
      <c r="L53" s="30">
        <f t="shared" si="11"/>
        <v>2544444.444444444</v>
      </c>
      <c r="M53" s="157">
        <f t="shared" si="12"/>
        <v>0.87739463601532552</v>
      </c>
      <c r="N53" s="30"/>
      <c r="O53" s="30"/>
      <c r="P53" s="30"/>
      <c r="Q53" s="30"/>
      <c r="R53" s="30"/>
      <c r="S53" s="30"/>
      <c r="T53" s="30"/>
      <c r="U53" s="30"/>
      <c r="V53" s="30"/>
    </row>
    <row r="54" spans="2:22" s="59" customFormat="1" ht="12.75" customHeight="1" x14ac:dyDescent="0.4">
      <c r="C54" s="247"/>
      <c r="D54" s="247"/>
      <c r="E54" s="247"/>
      <c r="F54" s="48">
        <v>0.05</v>
      </c>
      <c r="G54" s="167"/>
      <c r="H54" s="168">
        <f t="shared" si="13"/>
        <v>4900000</v>
      </c>
      <c r="I54" s="138"/>
      <c r="J54" s="138"/>
      <c r="K54" s="154">
        <f>'Project Costs &amp; Capital (UL)'!N30</f>
        <v>-2900000</v>
      </c>
      <c r="L54" s="30">
        <f>H54+K54</f>
        <v>2000000</v>
      </c>
      <c r="M54" s="157">
        <f>L54/-K54</f>
        <v>0.68965517241379315</v>
      </c>
      <c r="N54" s="30"/>
      <c r="O54" s="30"/>
      <c r="P54" s="30"/>
      <c r="R54" s="30"/>
      <c r="S54" s="30"/>
      <c r="T54" s="30"/>
      <c r="U54" s="30"/>
      <c r="V54" s="30"/>
    </row>
    <row r="55" spans="2:22" s="59" customFormat="1" ht="12.75" customHeight="1" x14ac:dyDescent="0.4">
      <c r="C55" s="247"/>
      <c r="D55" s="247"/>
      <c r="E55" s="247"/>
      <c r="F55" s="119">
        <f>F54+0.005</f>
        <v>5.5E-2</v>
      </c>
      <c r="G55" s="34"/>
      <c r="H55" s="117">
        <f t="shared" si="13"/>
        <v>4454545.4545454541</v>
      </c>
      <c r="I55" s="138"/>
      <c r="J55" s="138"/>
      <c r="K55" s="154">
        <f>K54</f>
        <v>-2900000</v>
      </c>
      <c r="L55" s="30">
        <f t="shared" ref="L55:L56" si="14">H55+K55</f>
        <v>1554545.4545454541</v>
      </c>
      <c r="M55" s="157">
        <f t="shared" ref="M55:M56" si="15">L55/-K55</f>
        <v>0.53605015673981171</v>
      </c>
      <c r="N55" s="30"/>
      <c r="O55" s="30"/>
      <c r="P55" s="30"/>
      <c r="Q55" s="30"/>
      <c r="R55" s="30"/>
      <c r="S55" s="30"/>
      <c r="T55" s="30"/>
      <c r="U55" s="30"/>
      <c r="V55" s="30"/>
    </row>
    <row r="56" spans="2:22" s="59" customFormat="1" ht="12.75" customHeight="1" x14ac:dyDescent="0.4">
      <c r="C56" s="247"/>
      <c r="D56" s="247"/>
      <c r="E56" s="247"/>
      <c r="F56" s="119">
        <f>F55+0.005</f>
        <v>0.06</v>
      </c>
      <c r="G56" s="34"/>
      <c r="H56" s="117">
        <f t="shared" si="13"/>
        <v>4083333.3333333335</v>
      </c>
      <c r="I56" s="138"/>
      <c r="J56" s="138"/>
      <c r="K56" s="154">
        <f>K55</f>
        <v>-2900000</v>
      </c>
      <c r="L56" s="30">
        <f t="shared" si="14"/>
        <v>1183333.3333333335</v>
      </c>
      <c r="M56" s="157">
        <f t="shared" si="15"/>
        <v>0.40804597701149431</v>
      </c>
      <c r="N56" s="30"/>
      <c r="O56" s="30"/>
      <c r="P56" s="30"/>
      <c r="Q56" s="30"/>
      <c r="R56" s="30"/>
      <c r="S56" s="30"/>
      <c r="T56" s="30"/>
      <c r="U56" s="30"/>
      <c r="V56" s="30"/>
    </row>
    <row r="57" spans="2:22" s="59" customFormat="1" ht="12.75" customHeight="1" x14ac:dyDescent="0.4">
      <c r="C57" s="133"/>
      <c r="D57" s="133"/>
      <c r="E57" s="134"/>
      <c r="F57" s="134"/>
      <c r="G57" s="134"/>
      <c r="H57" s="135"/>
      <c r="I57" s="134"/>
      <c r="J57" s="134"/>
      <c r="K57" s="136"/>
      <c r="L57" s="158"/>
      <c r="M57" s="159"/>
      <c r="N57" s="30"/>
      <c r="O57" s="30"/>
      <c r="P57" s="30"/>
      <c r="Q57" s="30"/>
      <c r="R57" s="30"/>
      <c r="S57" s="30"/>
      <c r="T57" s="30"/>
      <c r="U57" s="30"/>
      <c r="V57" s="30"/>
    </row>
    <row r="58" spans="2:22" s="59" customFormat="1" ht="12.75" customHeight="1" x14ac:dyDescent="0.4">
      <c r="C58" s="19"/>
      <c r="D58" s="19"/>
      <c r="E58" s="34"/>
      <c r="F58" s="34"/>
      <c r="G58" s="34"/>
      <c r="H58" s="64"/>
      <c r="I58" s="34"/>
      <c r="J58" s="34"/>
      <c r="K58" s="24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</row>
    <row r="59" spans="2:22" s="59" customFormat="1" ht="12.75" customHeight="1" x14ac:dyDescent="0.4">
      <c r="C59" s="19"/>
      <c r="D59" s="19"/>
      <c r="E59" s="34"/>
      <c r="F59" s="242" t="s">
        <v>99</v>
      </c>
      <c r="G59" s="242"/>
      <c r="H59" s="242"/>
      <c r="I59" s="34"/>
      <c r="J59" s="34"/>
      <c r="K59" s="24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</row>
    <row r="60" spans="2:22" s="59" customFormat="1" ht="12.75" customHeight="1" x14ac:dyDescent="0.4">
      <c r="C60" s="19"/>
      <c r="D60" s="19"/>
      <c r="E60" s="34"/>
      <c r="F60" s="244" t="s">
        <v>100</v>
      </c>
      <c r="G60" s="244"/>
      <c r="H60" s="244"/>
      <c r="I60" s="34"/>
      <c r="J60" s="34"/>
      <c r="K60" s="24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</row>
    <row r="61" spans="2:22" s="59" customFormat="1" ht="12.75" customHeight="1" x14ac:dyDescent="0.4">
      <c r="C61" s="19"/>
      <c r="D61" s="19"/>
      <c r="E61" s="34"/>
      <c r="F61" s="34"/>
      <c r="G61" s="34"/>
      <c r="H61" s="64"/>
      <c r="I61" s="34"/>
      <c r="J61" s="34"/>
      <c r="K61" s="24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</row>
    <row r="62" spans="2:22" s="59" customFormat="1" ht="12.75" customHeight="1" x14ac:dyDescent="0.4">
      <c r="C62" s="19" t="s">
        <v>15</v>
      </c>
      <c r="D62" s="19"/>
      <c r="E62" s="34"/>
      <c r="F62" s="119">
        <f>F63-0.005</f>
        <v>6.9999999999999993E-2</v>
      </c>
      <c r="G62" s="34"/>
      <c r="H62" s="64">
        <f t="shared" ref="H62:H64" si="16">NPV(F62,$K$46:$V$46)</f>
        <v>1387679.4719568908</v>
      </c>
      <c r="I62" s="139"/>
      <c r="J62" s="139"/>
      <c r="K62" s="14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</row>
    <row r="63" spans="2:22" s="59" customFormat="1" ht="12.75" customHeight="1" x14ac:dyDescent="0.4">
      <c r="C63" s="246"/>
      <c r="D63" s="246"/>
      <c r="E63" s="246"/>
      <c r="F63" s="119">
        <f>F64-0.005</f>
        <v>7.4999999999999997E-2</v>
      </c>
      <c r="G63" s="34"/>
      <c r="H63" s="64">
        <f t="shared" si="16"/>
        <v>1351502.2956878741</v>
      </c>
      <c r="I63" s="139"/>
      <c r="J63" s="139"/>
      <c r="K63" s="14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</row>
    <row r="64" spans="2:22" s="59" customFormat="1" ht="12.75" customHeight="1" x14ac:dyDescent="0.4">
      <c r="C64" s="246"/>
      <c r="D64" s="246"/>
      <c r="E64" s="246"/>
      <c r="F64" s="119">
        <f>F65-0.005</f>
        <v>0.08</v>
      </c>
      <c r="G64" s="34"/>
      <c r="H64" s="64">
        <f t="shared" si="16"/>
        <v>1316204.2564461525</v>
      </c>
      <c r="I64" s="139"/>
      <c r="J64" s="139"/>
      <c r="K64" s="14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</row>
    <row r="65" spans="2:22" s="59" customFormat="1" ht="12.75" customHeight="1" x14ac:dyDescent="0.4">
      <c r="C65" s="246"/>
      <c r="D65" s="246"/>
      <c r="E65" s="246"/>
      <c r="F65" s="48">
        <v>8.5000000000000006E-2</v>
      </c>
      <c r="G65" s="34"/>
      <c r="H65" s="64">
        <f>NPV(F65,$K$46:$V$46)</f>
        <v>1281760.8099757205</v>
      </c>
      <c r="I65" s="139"/>
      <c r="J65" s="139"/>
      <c r="K65" s="14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</row>
    <row r="66" spans="2:22" s="59" customFormat="1" ht="12.75" customHeight="1" x14ac:dyDescent="0.4">
      <c r="C66" s="246"/>
      <c r="D66" s="246"/>
      <c r="E66" s="246"/>
      <c r="F66" s="119">
        <f>F65+0.005</f>
        <v>9.0000000000000011E-2</v>
      </c>
      <c r="G66" s="34"/>
      <c r="H66" s="64">
        <f t="shared" ref="H66:H68" si="17">NPV(F66,$K$46:$V$46)</f>
        <v>1248148.1995220943</v>
      </c>
      <c r="I66" s="139"/>
      <c r="J66" s="139"/>
      <c r="K66" s="14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</row>
    <row r="67" spans="2:22" s="59" customFormat="1" ht="12.75" customHeight="1" x14ac:dyDescent="0.4">
      <c r="C67" s="246"/>
      <c r="D67" s="246"/>
      <c r="E67" s="246"/>
      <c r="F67" s="119">
        <f t="shared" ref="F67:F68" si="18">F66+0.005</f>
        <v>9.5000000000000015E-2</v>
      </c>
      <c r="G67" s="34"/>
      <c r="H67" s="64">
        <f t="shared" si="17"/>
        <v>1215343.4271936025</v>
      </c>
      <c r="I67" s="139"/>
      <c r="J67" s="139"/>
      <c r="K67" s="14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</row>
    <row r="68" spans="2:22" s="59" customFormat="1" ht="12.75" customHeight="1" x14ac:dyDescent="0.4">
      <c r="C68" s="246"/>
      <c r="D68" s="246"/>
      <c r="E68" s="246"/>
      <c r="F68" s="119">
        <f t="shared" si="18"/>
        <v>0.10000000000000002</v>
      </c>
      <c r="G68" s="34"/>
      <c r="H68" s="64">
        <f t="shared" si="17"/>
        <v>1183324.226487261</v>
      </c>
      <c r="I68" s="141"/>
      <c r="J68" s="141"/>
      <c r="K68" s="142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</row>
    <row r="69" spans="2:22" s="59" customFormat="1" ht="12.75" customHeight="1" x14ac:dyDescent="0.4">
      <c r="C69" s="19"/>
      <c r="D69" s="19"/>
      <c r="E69" s="34"/>
      <c r="F69" s="48"/>
      <c r="G69" s="34"/>
      <c r="H69" s="64"/>
      <c r="I69" s="34"/>
      <c r="J69" s="34"/>
      <c r="K69" s="24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</row>
    <row r="70" spans="2:22" s="59" customFormat="1" ht="12.75" customHeight="1" x14ac:dyDescent="0.4">
      <c r="C70" s="19" t="s">
        <v>16</v>
      </c>
      <c r="D70" s="19"/>
      <c r="E70" s="34"/>
      <c r="F70" s="34"/>
      <c r="G70" s="34"/>
      <c r="H70" s="169">
        <f>IRR(K46:V46)</f>
        <v>0.51093772370736668</v>
      </c>
      <c r="I70" s="34"/>
      <c r="J70" s="34"/>
      <c r="K70" s="24"/>
      <c r="L70" s="30"/>
      <c r="M70" s="30"/>
      <c r="N70" s="181"/>
      <c r="O70" s="30"/>
      <c r="P70" s="30"/>
      <c r="Q70" s="30"/>
      <c r="R70" s="30"/>
      <c r="S70" s="30"/>
      <c r="T70" s="30"/>
      <c r="U70" s="30"/>
      <c r="V70" s="30"/>
    </row>
    <row r="71" spans="2:22" s="59" customFormat="1" ht="12.75" customHeight="1" x14ac:dyDescent="0.4">
      <c r="C71" s="19" t="s">
        <v>90</v>
      </c>
      <c r="D71" s="19"/>
      <c r="E71" s="34"/>
      <c r="F71" s="34"/>
      <c r="G71" s="34"/>
      <c r="H71" s="170">
        <f>SUM(K46:V46)</f>
        <v>2002369.9999999998</v>
      </c>
      <c r="I71" s="34"/>
      <c r="J71" s="34"/>
      <c r="K71" s="24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</row>
    <row r="72" spans="2:22" s="59" customFormat="1" ht="12.75" customHeight="1" x14ac:dyDescent="0.4">
      <c r="C72" s="19"/>
      <c r="D72" s="34"/>
      <c r="E72" s="34"/>
      <c r="F72" s="34"/>
      <c r="G72" s="34"/>
      <c r="H72" s="34"/>
      <c r="I72" s="34"/>
      <c r="J72" s="34"/>
      <c r="K72" s="24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</row>
    <row r="73" spans="2:22" s="59" customFormat="1" ht="12.75" customHeight="1" x14ac:dyDescent="0.4">
      <c r="C73" s="19" t="s">
        <v>68</v>
      </c>
      <c r="D73" s="34"/>
      <c r="E73" s="34"/>
      <c r="F73" s="34"/>
      <c r="G73" s="34"/>
      <c r="H73" s="65"/>
      <c r="I73" s="34"/>
      <c r="J73" s="34"/>
      <c r="K73" s="118" t="str">
        <f>IF(AND(K38&gt;0,K6&lt;=$I$40),(K38/($L$17+$K$17)),"")</f>
        <v/>
      </c>
      <c r="L73" s="108" t="str">
        <f>IF(AND(L38&gt;0,L6&lt;=$I$40),(L38/($L$17+$K$17)),"")</f>
        <v/>
      </c>
      <c r="M73" s="108">
        <f>IF(AND(M38&gt;0,M6&lt;=$I$40),(M38/($L$17+$K$17)),"")</f>
        <v>0.15738255033557044</v>
      </c>
      <c r="N73" s="108">
        <f t="shared" ref="N73:V73" si="19">IF(AND(N38&gt;0,N6&lt;=$I$40),(N38/($L$17+$K$17)),"")</f>
        <v>0.15721476510067109</v>
      </c>
      <c r="O73" s="108" t="str">
        <f t="shared" si="19"/>
        <v/>
      </c>
      <c r="P73" s="108" t="str">
        <f t="shared" si="19"/>
        <v/>
      </c>
      <c r="Q73" s="108" t="str">
        <f t="shared" si="19"/>
        <v/>
      </c>
      <c r="R73" s="108" t="str">
        <f t="shared" si="19"/>
        <v/>
      </c>
      <c r="S73" s="108" t="str">
        <f t="shared" si="19"/>
        <v/>
      </c>
      <c r="T73" s="108" t="str">
        <f t="shared" si="19"/>
        <v/>
      </c>
      <c r="U73" s="108" t="str">
        <f t="shared" si="19"/>
        <v/>
      </c>
      <c r="V73" s="108" t="str">
        <f t="shared" si="19"/>
        <v/>
      </c>
    </row>
    <row r="74" spans="2:22" ht="8.1999999999999993" customHeight="1" thickBot="1" x14ac:dyDescent="0.45">
      <c r="B74" s="25"/>
      <c r="C74" s="25"/>
      <c r="D74" s="25"/>
      <c r="E74" s="25"/>
      <c r="F74" s="25"/>
      <c r="G74" s="25"/>
      <c r="H74" s="25"/>
      <c r="I74" s="25"/>
      <c r="J74" s="25"/>
      <c r="K74" s="36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</row>
    <row r="76" spans="2:22" ht="12.75" customHeight="1" x14ac:dyDescent="0.4">
      <c r="C76" s="19" t="s">
        <v>67</v>
      </c>
      <c r="F76" s="129" t="s">
        <v>81</v>
      </c>
      <c r="H76" s="34" t="s">
        <v>77</v>
      </c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</row>
    <row r="77" spans="2:22" ht="12.75" customHeight="1" x14ac:dyDescent="0.4">
      <c r="C77" s="19" t="s">
        <v>15</v>
      </c>
      <c r="F77" s="129" t="s">
        <v>81</v>
      </c>
      <c r="H77" s="34" t="s">
        <v>78</v>
      </c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</row>
    <row r="78" spans="2:22" ht="12.75" customHeight="1" x14ac:dyDescent="0.4">
      <c r="C78" s="19" t="s">
        <v>16</v>
      </c>
      <c r="F78" s="129" t="s">
        <v>81</v>
      </c>
      <c r="H78" s="34" t="s">
        <v>79</v>
      </c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</row>
  </sheetData>
  <mergeCells count="8">
    <mergeCell ref="C63:E68"/>
    <mergeCell ref="F59:H59"/>
    <mergeCell ref="K5:V5"/>
    <mergeCell ref="K10:L10"/>
    <mergeCell ref="P49:R49"/>
    <mergeCell ref="F50:H50"/>
    <mergeCell ref="C53:E56"/>
    <mergeCell ref="F60:H60"/>
  </mergeCells>
  <printOptions horizontalCentered="1"/>
  <pageMargins left="0.5" right="0.5" top="0.75" bottom="0.75" header="0.5" footer="0.5"/>
  <pageSetup scale="6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4F592-9454-40E7-BFA3-C1ADD5673FCA}">
  <sheetPr>
    <pageSetUpPr fitToPage="1"/>
  </sheetPr>
  <dimension ref="B1:AA95"/>
  <sheetViews>
    <sheetView showGridLines="0" topLeftCell="A60" zoomScale="150" zoomScaleNormal="150" workbookViewId="0">
      <selection activeCell="H87" sqref="H87"/>
    </sheetView>
  </sheetViews>
  <sheetFormatPr defaultRowHeight="12.75" customHeight="1" outlineLevelRow="1" x14ac:dyDescent="0.35"/>
  <cols>
    <col min="1" max="1" width="0.796875" customWidth="1"/>
    <col min="2" max="3" width="1.796875" customWidth="1"/>
    <col min="4" max="4" width="4.796875" customWidth="1"/>
    <col min="5" max="5" width="15.796875" customWidth="1"/>
    <col min="6" max="6" width="6.796875" customWidth="1"/>
    <col min="7" max="7" width="1.796875" customWidth="1"/>
    <col min="8" max="8" width="12.796875" customWidth="1"/>
    <col min="9" max="10" width="7.796875" customWidth="1"/>
    <col min="11" max="22" width="11.796875" customWidth="1"/>
  </cols>
  <sheetData>
    <row r="1" spans="2:22" ht="15" customHeight="1" x14ac:dyDescent="0.5">
      <c r="B1" s="11" t="str">
        <f>'Net Operating Income'!B1</f>
        <v xml:space="preserve">Vet Village- Affordable Housing </v>
      </c>
      <c r="C1" s="11"/>
      <c r="D1" s="11"/>
      <c r="E1" s="11"/>
      <c r="F1" s="11"/>
      <c r="G1" s="11"/>
      <c r="H1" s="11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2:22" ht="15" customHeight="1" x14ac:dyDescent="0.5">
      <c r="B2" s="68" t="s">
        <v>121</v>
      </c>
      <c r="C2" s="11"/>
      <c r="D2" s="11"/>
      <c r="E2" s="11"/>
      <c r="F2" s="11"/>
      <c r="G2" s="11"/>
      <c r="H2" s="11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</row>
    <row r="3" spans="2:22" ht="8.1999999999999993" customHeight="1" x14ac:dyDescent="0.5">
      <c r="B3" s="11"/>
      <c r="C3" s="9"/>
      <c r="D3" s="9"/>
      <c r="E3" s="9"/>
      <c r="F3" s="9"/>
      <c r="G3" s="9"/>
      <c r="H3" s="9"/>
    </row>
    <row r="4" spans="2:22" s="31" customFormat="1" ht="12.75" customHeight="1" x14ac:dyDescent="0.4">
      <c r="B4" s="40"/>
      <c r="C4" s="40"/>
      <c r="D4" s="40"/>
      <c r="E4" s="40"/>
      <c r="F4" s="40"/>
      <c r="G4" s="40"/>
      <c r="K4" s="26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2:22" ht="12.75" customHeight="1" x14ac:dyDescent="0.4">
      <c r="B5" s="5"/>
      <c r="C5" s="5"/>
      <c r="D5" s="5"/>
      <c r="E5" s="5"/>
      <c r="F5" s="5"/>
      <c r="G5" s="5"/>
      <c r="K5" s="242" t="s">
        <v>1</v>
      </c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</row>
    <row r="6" spans="2:22" s="10" customFormat="1" ht="12.75" customHeight="1" x14ac:dyDescent="0.4">
      <c r="B6" s="46"/>
      <c r="C6" s="44"/>
      <c r="D6" s="44"/>
      <c r="E6" s="44"/>
      <c r="F6" s="28"/>
      <c r="G6" s="28"/>
      <c r="K6" s="116">
        <v>0</v>
      </c>
      <c r="L6" s="41">
        <v>1</v>
      </c>
      <c r="M6" s="42">
        <f>L6+1</f>
        <v>2</v>
      </c>
      <c r="N6" s="42">
        <f t="shared" ref="N6:V6" si="0">M6+1</f>
        <v>3</v>
      </c>
      <c r="O6" s="42">
        <f t="shared" si="0"/>
        <v>4</v>
      </c>
      <c r="P6" s="42">
        <f t="shared" si="0"/>
        <v>5</v>
      </c>
      <c r="Q6" s="43">
        <f t="shared" si="0"/>
        <v>6</v>
      </c>
      <c r="R6" s="43">
        <f t="shared" si="0"/>
        <v>7</v>
      </c>
      <c r="S6" s="43">
        <f t="shared" si="0"/>
        <v>8</v>
      </c>
      <c r="T6" s="43">
        <f t="shared" si="0"/>
        <v>9</v>
      </c>
      <c r="U6" s="43">
        <f t="shared" si="0"/>
        <v>10</v>
      </c>
      <c r="V6" s="43">
        <f t="shared" si="0"/>
        <v>11</v>
      </c>
    </row>
    <row r="7" spans="2:22" s="1" customFormat="1" ht="4.05" customHeight="1" x14ac:dyDescent="0.4">
      <c r="B7" s="39"/>
      <c r="C7" s="8"/>
      <c r="D7" s="8"/>
      <c r="E7" s="8"/>
      <c r="F7" s="8"/>
      <c r="G7" s="8"/>
      <c r="H7" s="8"/>
      <c r="I7" s="14"/>
      <c r="J7" s="13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2:22" s="1" customFormat="1" ht="12.75" customHeight="1" x14ac:dyDescent="0.4">
      <c r="B8" s="38" t="s">
        <v>19</v>
      </c>
      <c r="C8" s="32"/>
      <c r="D8" s="32"/>
      <c r="E8" s="33"/>
      <c r="F8" s="8"/>
      <c r="G8" s="8"/>
      <c r="H8" s="8"/>
      <c r="I8" s="14"/>
      <c r="J8" s="13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2:22" s="1" customFormat="1" ht="4.05" customHeight="1" x14ac:dyDescent="0.4">
      <c r="B9" s="39"/>
      <c r="C9" s="8"/>
      <c r="D9" s="8"/>
      <c r="E9" s="8"/>
      <c r="F9" s="8"/>
      <c r="G9" s="8"/>
      <c r="H9" s="8"/>
      <c r="I9" s="14"/>
      <c r="J9" s="13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2:22" s="1" customFormat="1" ht="12.75" customHeight="1" x14ac:dyDescent="0.4">
      <c r="B10" s="19" t="s">
        <v>19</v>
      </c>
      <c r="C10" s="19"/>
      <c r="D10" s="19"/>
      <c r="E10" s="19"/>
      <c r="F10" s="19"/>
      <c r="G10" s="19"/>
      <c r="I10" s="14"/>
      <c r="J10" s="13"/>
      <c r="K10" s="245" t="s">
        <v>40</v>
      </c>
      <c r="L10" s="245"/>
      <c r="M10" s="113"/>
      <c r="N10" s="92"/>
      <c r="O10" s="12"/>
      <c r="P10" s="12"/>
      <c r="Q10" s="12"/>
      <c r="R10" s="12"/>
      <c r="S10" s="12"/>
      <c r="T10" s="12"/>
      <c r="U10" s="12"/>
      <c r="V10" s="12"/>
    </row>
    <row r="11" spans="2:22" s="1" customFormat="1" ht="12.75" customHeight="1" x14ac:dyDescent="0.4">
      <c r="B11" s="19"/>
      <c r="C11" s="5" t="s">
        <v>39</v>
      </c>
      <c r="D11" s="5"/>
      <c r="E11" s="5"/>
      <c r="F11" s="5"/>
      <c r="G11" s="5"/>
      <c r="I11" s="14"/>
      <c r="J11" s="13"/>
      <c r="K11" s="15">
        <f>'Project Costs &amp; Capital (L)'!H15</f>
        <v>-2650000</v>
      </c>
      <c r="L11" s="15">
        <f>'Project Costs &amp; Capital (L)'!I15</f>
        <v>0</v>
      </c>
      <c r="M11" s="94"/>
      <c r="N11" s="94"/>
      <c r="O11" s="95"/>
      <c r="P11" s="95"/>
      <c r="Q11" s="95"/>
      <c r="R11" s="95"/>
      <c r="S11" s="95"/>
      <c r="T11" s="95"/>
      <c r="U11" s="95"/>
      <c r="V11" s="95"/>
    </row>
    <row r="12" spans="2:22" s="1" customFormat="1" ht="12.75" customHeight="1" x14ac:dyDescent="0.4">
      <c r="B12"/>
      <c r="C12" s="5" t="s">
        <v>25</v>
      </c>
      <c r="D12" s="5"/>
      <c r="E12" s="5"/>
      <c r="F12" s="48"/>
      <c r="G12" s="5"/>
      <c r="I12" s="14"/>
      <c r="J12" s="13"/>
      <c r="K12" s="16">
        <f>'Project Costs &amp; Capital (L)'!H21</f>
        <v>0</v>
      </c>
      <c r="L12" s="16">
        <f>'Project Costs &amp; Capital (L)'!I21</f>
        <v>-250000</v>
      </c>
      <c r="M12" s="96"/>
      <c r="N12" s="96"/>
      <c r="O12" s="95"/>
      <c r="P12" s="95"/>
      <c r="Q12" s="95"/>
      <c r="R12" s="95"/>
      <c r="S12" s="95"/>
      <c r="T12" s="95"/>
      <c r="U12" s="95"/>
      <c r="V12" s="95"/>
    </row>
    <row r="13" spans="2:22" s="1" customFormat="1" ht="12.75" customHeight="1" x14ac:dyDescent="0.4">
      <c r="B13"/>
      <c r="C13" s="5" t="s">
        <v>30</v>
      </c>
      <c r="D13" s="5"/>
      <c r="E13" s="5"/>
      <c r="F13" s="5"/>
      <c r="G13" s="5"/>
      <c r="I13" s="14"/>
      <c r="J13" s="13"/>
      <c r="K13" s="16">
        <f>'Project Costs &amp; Capital (L)'!H26</f>
        <v>0</v>
      </c>
      <c r="L13" s="16">
        <f>'Project Costs &amp; Capital (L)'!I26</f>
        <v>-80000</v>
      </c>
      <c r="M13" s="96"/>
      <c r="N13" s="96"/>
      <c r="O13" s="95"/>
      <c r="P13" s="95"/>
      <c r="Q13" s="95"/>
      <c r="R13" s="95"/>
      <c r="S13" s="95"/>
      <c r="T13" s="95"/>
      <c r="U13" s="95"/>
      <c r="V13" s="95"/>
    </row>
    <row r="14" spans="2:22" s="1" customFormat="1" ht="12.75" customHeight="1" x14ac:dyDescent="0.4">
      <c r="B14"/>
      <c r="C14" s="5" t="s">
        <v>32</v>
      </c>
      <c r="D14" s="5"/>
      <c r="E14" s="5"/>
      <c r="F14" s="48"/>
      <c r="G14" s="5"/>
      <c r="I14" s="14"/>
      <c r="J14" s="13"/>
      <c r="K14" s="80">
        <f>'Project Costs &amp; Capital (L)'!H28</f>
        <v>0</v>
      </c>
      <c r="L14" s="80">
        <f>'Project Costs &amp; Capital (L)'!I28</f>
        <v>0</v>
      </c>
      <c r="M14" s="98"/>
      <c r="N14" s="98"/>
      <c r="O14" s="95"/>
      <c r="P14" s="95"/>
      <c r="Q14" s="95"/>
      <c r="R14" s="95"/>
      <c r="S14" s="95"/>
      <c r="T14" s="95"/>
      <c r="U14" s="95"/>
      <c r="V14" s="95"/>
    </row>
    <row r="15" spans="2:22" s="1" customFormat="1" ht="12.75" customHeight="1" x14ac:dyDescent="0.4">
      <c r="B15" s="145" t="s">
        <v>3</v>
      </c>
      <c r="C15" s="145"/>
      <c r="D15" s="145"/>
      <c r="E15" s="145"/>
      <c r="F15" s="145"/>
      <c r="G15" s="145"/>
      <c r="H15" s="189"/>
      <c r="I15" s="190"/>
      <c r="J15" s="191"/>
      <c r="K15" s="192">
        <f>SUM(K11:K14)</f>
        <v>-2650000</v>
      </c>
      <c r="L15" s="192">
        <f t="shared" ref="L15" si="1">SUM(L11:L14)</f>
        <v>-330000</v>
      </c>
      <c r="M15" s="97"/>
      <c r="N15" s="97"/>
      <c r="O15" s="95"/>
      <c r="P15" s="95"/>
      <c r="Q15" s="95"/>
      <c r="R15" s="95"/>
      <c r="S15" s="95"/>
      <c r="T15" s="95"/>
      <c r="U15" s="95"/>
      <c r="V15" s="95"/>
    </row>
    <row r="16" spans="2:22" s="1" customFormat="1" ht="12.75" customHeight="1" x14ac:dyDescent="0.4">
      <c r="B16" s="19"/>
      <c r="C16" s="34" t="s">
        <v>102</v>
      </c>
      <c r="D16" s="19"/>
      <c r="E16" s="19"/>
      <c r="F16" s="19"/>
      <c r="G16" s="19"/>
      <c r="I16" s="14"/>
      <c r="J16" s="13"/>
      <c r="K16" s="179">
        <f>'Project Costs &amp; Capital (L)'!H36</f>
        <v>1854999.9999999998</v>
      </c>
      <c r="L16" s="179">
        <f>+K16+'Project Costs &amp; Capital (L)'!I36</f>
        <v>2085999.9999999998</v>
      </c>
      <c r="M16" s="97"/>
      <c r="N16" s="97"/>
      <c r="O16" s="95"/>
      <c r="P16" s="95"/>
      <c r="Q16" s="95"/>
      <c r="R16" s="95"/>
      <c r="S16" s="95"/>
      <c r="T16" s="95"/>
      <c r="U16" s="95"/>
      <c r="V16" s="95"/>
    </row>
    <row r="17" spans="2:24" s="1" customFormat="1" ht="12.75" customHeight="1" x14ac:dyDescent="0.4">
      <c r="B17" s="19"/>
      <c r="C17" s="34" t="s">
        <v>102</v>
      </c>
      <c r="D17" s="19"/>
      <c r="E17" s="19"/>
      <c r="F17" s="19"/>
      <c r="G17" s="19"/>
      <c r="I17" s="14"/>
      <c r="J17" s="13"/>
      <c r="K17" s="196">
        <f>'Project Costs &amp; Capital (L)'!H37</f>
        <v>795000.00000000023</v>
      </c>
      <c r="L17" s="196">
        <f>'Project Costs &amp; Capital (L)'!I37</f>
        <v>99000.000000000029</v>
      </c>
      <c r="M17" s="97"/>
      <c r="N17" s="97"/>
      <c r="O17" s="95"/>
      <c r="P17" s="95"/>
      <c r="Q17" s="95"/>
      <c r="R17" s="95"/>
      <c r="S17" s="95"/>
      <c r="T17" s="95"/>
      <c r="U17" s="95"/>
      <c r="V17" s="95"/>
    </row>
    <row r="18" spans="2:24" s="1" customFormat="1" ht="8.1999999999999993" customHeight="1" thickBot="1" x14ac:dyDescent="0.45">
      <c r="B18" s="54"/>
      <c r="C18" s="55"/>
      <c r="D18" s="55"/>
      <c r="E18" s="55"/>
      <c r="F18" s="55"/>
      <c r="G18" s="55"/>
      <c r="H18" s="55"/>
      <c r="I18" s="56"/>
      <c r="J18" s="57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</row>
    <row r="19" spans="2:24" s="1" customFormat="1" ht="8.1999999999999993" customHeight="1" x14ac:dyDescent="0.4">
      <c r="B19" s="39"/>
      <c r="C19" s="8"/>
      <c r="D19" s="8"/>
      <c r="E19" s="8"/>
      <c r="F19" s="8"/>
      <c r="G19" s="8"/>
      <c r="H19" s="8"/>
      <c r="I19" s="14"/>
      <c r="J19" s="13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spans="2:24" s="1" customFormat="1" ht="12.75" customHeight="1" x14ac:dyDescent="0.4">
      <c r="B20" s="38" t="s">
        <v>7</v>
      </c>
      <c r="C20" s="32"/>
      <c r="D20" s="32"/>
      <c r="E20" s="33"/>
      <c r="F20" s="8"/>
      <c r="G20" s="8"/>
      <c r="H20" s="8"/>
      <c r="I20" s="14"/>
      <c r="J20" s="13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2" spans="2:24" ht="12.75" customHeight="1" x14ac:dyDescent="0.4">
      <c r="C22" s="5" t="s">
        <v>5</v>
      </c>
      <c r="D22" s="5"/>
      <c r="E22" s="5"/>
      <c r="F22" s="5"/>
      <c r="G22" s="5"/>
      <c r="H22" s="5"/>
      <c r="I22" s="5"/>
      <c r="J22" s="5"/>
      <c r="K22" s="23">
        <f>'Net Operating Income'!M14</f>
        <v>0</v>
      </c>
      <c r="L22" s="22">
        <f>'Net Operating Income'!N14</f>
        <v>0</v>
      </c>
      <c r="M22" s="22">
        <f>'Net Operating Income'!O14</f>
        <v>250000</v>
      </c>
      <c r="N22" s="22">
        <f>'Net Operating Income'!P14</f>
        <v>250000</v>
      </c>
      <c r="O22" s="22">
        <f>'Net Operating Income'!Q14</f>
        <v>250000</v>
      </c>
      <c r="P22" s="22">
        <f>'Net Operating Income'!R14</f>
        <v>250000</v>
      </c>
      <c r="Q22" s="22">
        <f>'Net Operating Income'!S14</f>
        <v>250000</v>
      </c>
      <c r="R22" s="22">
        <f>'Net Operating Income'!T14</f>
        <v>275000</v>
      </c>
      <c r="S22" s="22">
        <f>'Net Operating Income'!U14</f>
        <v>275000</v>
      </c>
      <c r="T22" s="22">
        <f>'Net Operating Income'!V14</f>
        <v>275000</v>
      </c>
      <c r="U22" s="22">
        <f>'Net Operating Income'!W14</f>
        <v>275000</v>
      </c>
      <c r="V22" s="22">
        <f>'Net Operating Income'!X14</f>
        <v>275000</v>
      </c>
    </row>
    <row r="23" spans="2:24" ht="4.05" customHeight="1" x14ac:dyDescent="0.4">
      <c r="C23" s="5"/>
      <c r="D23" s="5"/>
      <c r="E23" s="5"/>
      <c r="F23" s="5"/>
      <c r="G23" s="5"/>
      <c r="H23" s="5"/>
      <c r="I23" s="5"/>
      <c r="J23" s="5"/>
      <c r="K23" s="23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</row>
    <row r="24" spans="2:24" ht="12.75" customHeight="1" x14ac:dyDescent="0.4">
      <c r="C24" s="5"/>
      <c r="D24" s="5" t="s">
        <v>2</v>
      </c>
      <c r="E24" s="5" t="s">
        <v>51</v>
      </c>
      <c r="F24" s="114"/>
      <c r="G24" s="5"/>
      <c r="H24" s="5"/>
      <c r="I24" s="5"/>
      <c r="J24" s="5"/>
      <c r="K24" s="107">
        <f>'Net Operating Income'!M19</f>
        <v>0</v>
      </c>
      <c r="L24" s="80">
        <f>'Net Operating Income'!N19</f>
        <v>0</v>
      </c>
      <c r="M24" s="80">
        <f>'Net Operating Income'!O19</f>
        <v>0</v>
      </c>
      <c r="N24" s="80">
        <f>'Net Operating Income'!P19</f>
        <v>0</v>
      </c>
      <c r="O24" s="80">
        <f>'Net Operating Income'!Q19</f>
        <v>0</v>
      </c>
      <c r="P24" s="80">
        <f>'Net Operating Income'!R19</f>
        <v>0</v>
      </c>
      <c r="Q24" s="80">
        <f>'Net Operating Income'!S19</f>
        <v>0</v>
      </c>
      <c r="R24" s="80">
        <f>'Net Operating Income'!T19</f>
        <v>0</v>
      </c>
      <c r="S24" s="80">
        <f>'Net Operating Income'!U19</f>
        <v>0</v>
      </c>
      <c r="T24" s="80">
        <f>'Net Operating Income'!V19</f>
        <v>0</v>
      </c>
      <c r="U24" s="80">
        <f>'Net Operating Income'!W19</f>
        <v>0</v>
      </c>
      <c r="V24" s="80">
        <f>'Net Operating Income'!X19</f>
        <v>0</v>
      </c>
    </row>
    <row r="25" spans="2:24" ht="4.05" customHeight="1" x14ac:dyDescent="0.4">
      <c r="C25" s="5"/>
      <c r="D25" s="5"/>
      <c r="E25" s="5"/>
      <c r="F25" s="114"/>
      <c r="G25" s="5"/>
      <c r="H25" s="5"/>
      <c r="I25" s="5"/>
      <c r="J25" s="5"/>
      <c r="K25" s="18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</row>
    <row r="26" spans="2:24" s="35" customFormat="1" ht="12.75" customHeight="1" x14ac:dyDescent="0.4">
      <c r="C26" s="5" t="s">
        <v>53</v>
      </c>
      <c r="D26" s="5"/>
      <c r="E26" s="5"/>
      <c r="F26" s="5"/>
      <c r="G26" s="5"/>
      <c r="H26" s="5"/>
      <c r="I26" s="5"/>
      <c r="J26" s="5"/>
      <c r="K26" s="23">
        <f>SUM(K22:K24)</f>
        <v>0</v>
      </c>
      <c r="L26" s="22">
        <f t="shared" ref="L26:V26" si="2">SUM(L22:L24)</f>
        <v>0</v>
      </c>
      <c r="M26" s="22">
        <f t="shared" si="2"/>
        <v>250000</v>
      </c>
      <c r="N26" s="22">
        <f t="shared" si="2"/>
        <v>250000</v>
      </c>
      <c r="O26" s="22">
        <f t="shared" si="2"/>
        <v>250000</v>
      </c>
      <c r="P26" s="22">
        <f t="shared" si="2"/>
        <v>250000</v>
      </c>
      <c r="Q26" s="22">
        <f t="shared" si="2"/>
        <v>250000</v>
      </c>
      <c r="R26" s="22">
        <f t="shared" si="2"/>
        <v>275000</v>
      </c>
      <c r="S26" s="22">
        <f t="shared" si="2"/>
        <v>275000</v>
      </c>
      <c r="T26" s="22">
        <f t="shared" si="2"/>
        <v>275000</v>
      </c>
      <c r="U26" s="22">
        <f t="shared" si="2"/>
        <v>275000</v>
      </c>
      <c r="V26" s="22">
        <f t="shared" si="2"/>
        <v>275000</v>
      </c>
    </row>
    <row r="27" spans="2:24" s="35" customFormat="1" ht="4.05" customHeight="1" x14ac:dyDescent="0.4">
      <c r="C27" s="5"/>
      <c r="D27" s="5"/>
      <c r="E27" s="5"/>
      <c r="F27" s="5"/>
      <c r="G27" s="5"/>
      <c r="H27" s="5"/>
      <c r="I27" s="5"/>
      <c r="J27" s="5"/>
      <c r="K27" s="23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</row>
    <row r="28" spans="2:24" s="35" customFormat="1" ht="12.75" customHeight="1" x14ac:dyDescent="0.4">
      <c r="C28" s="19"/>
      <c r="D28" s="5" t="s">
        <v>2</v>
      </c>
      <c r="E28" s="5" t="s">
        <v>54</v>
      </c>
      <c r="F28" s="19"/>
      <c r="G28" s="19"/>
      <c r="H28" s="19"/>
      <c r="I28" s="19"/>
      <c r="J28" s="19"/>
      <c r="K28" s="107">
        <f>'Net Operating Income'!M26</f>
        <v>0</v>
      </c>
      <c r="L28" s="80">
        <f>'Net Operating Income'!N26</f>
        <v>0</v>
      </c>
      <c r="M28" s="80">
        <f>'Net Operating Income'!O26</f>
        <v>-5000</v>
      </c>
      <c r="N28" s="80">
        <f>'Net Operating Income'!P26</f>
        <v>-5150</v>
      </c>
      <c r="O28" s="80">
        <f>'Net Operating Income'!Q26</f>
        <v>-5304.5</v>
      </c>
      <c r="P28" s="80">
        <f>'Net Operating Income'!R26</f>
        <v>-5463.6350000000002</v>
      </c>
      <c r="Q28" s="80">
        <f>'Net Operating Income'!S26</f>
        <v>-5627.5440500000004</v>
      </c>
      <c r="R28" s="80">
        <f>'Net Operating Income'!T26</f>
        <v>-5796.3703715000001</v>
      </c>
      <c r="S28" s="80">
        <f>'Net Operating Income'!U26</f>
        <v>-5970.2614826449999</v>
      </c>
      <c r="T28" s="80">
        <f>'Net Operating Income'!V26</f>
        <v>-6149.3693271243501</v>
      </c>
      <c r="U28" s="80">
        <f>'Net Operating Income'!W26</f>
        <v>-6333.8504069380806</v>
      </c>
      <c r="V28" s="80">
        <f>'Net Operating Income'!X26</f>
        <v>-6523.865919146223</v>
      </c>
    </row>
    <row r="29" spans="2:24" s="35" customFormat="1" ht="4.05" customHeight="1" x14ac:dyDescent="0.4">
      <c r="C29" s="19"/>
      <c r="D29" s="5"/>
      <c r="E29" s="5"/>
      <c r="F29" s="19"/>
      <c r="G29" s="19"/>
      <c r="H29" s="19"/>
      <c r="I29" s="19"/>
      <c r="J29" s="19"/>
      <c r="K29" s="18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</row>
    <row r="30" spans="2:24" s="35" customFormat="1" ht="12.75" customHeight="1" thickBot="1" x14ac:dyDescent="0.45">
      <c r="C30" s="73" t="s">
        <v>7</v>
      </c>
      <c r="D30" s="73"/>
      <c r="E30" s="73"/>
      <c r="F30" s="73"/>
      <c r="G30" s="73"/>
      <c r="H30" s="73"/>
      <c r="I30" s="73"/>
      <c r="J30" s="73"/>
      <c r="K30" s="187">
        <f>SUM(K26:K28)</f>
        <v>0</v>
      </c>
      <c r="L30" s="188">
        <f t="shared" ref="L30:V30" si="3">SUM(L26:L28)</f>
        <v>0</v>
      </c>
      <c r="M30" s="188">
        <f t="shared" si="3"/>
        <v>245000</v>
      </c>
      <c r="N30" s="188">
        <f t="shared" si="3"/>
        <v>244850</v>
      </c>
      <c r="O30" s="188">
        <f t="shared" si="3"/>
        <v>244695.5</v>
      </c>
      <c r="P30" s="188">
        <f t="shared" si="3"/>
        <v>244536.36499999999</v>
      </c>
      <c r="Q30" s="188">
        <f t="shared" si="3"/>
        <v>244372.45595</v>
      </c>
      <c r="R30" s="188">
        <f t="shared" si="3"/>
        <v>269203.62962850003</v>
      </c>
      <c r="S30" s="188">
        <f t="shared" si="3"/>
        <v>269029.738517355</v>
      </c>
      <c r="T30" s="188">
        <f t="shared" si="3"/>
        <v>268850.63067287568</v>
      </c>
      <c r="U30" s="188">
        <f t="shared" si="3"/>
        <v>268666.14959306194</v>
      </c>
      <c r="V30" s="188">
        <f t="shared" si="3"/>
        <v>268476.13408085378</v>
      </c>
      <c r="W30" s="185"/>
      <c r="X30" s="185"/>
    </row>
    <row r="31" spans="2:24" s="35" customFormat="1" ht="12.75" customHeight="1" thickTop="1" x14ac:dyDescent="0.4">
      <c r="C31" s="73"/>
      <c r="D31" s="197" t="s">
        <v>103</v>
      </c>
      <c r="E31" s="197"/>
      <c r="F31" s="198">
        <f>F70</f>
        <v>0.05</v>
      </c>
      <c r="G31" s="199"/>
      <c r="H31" s="199"/>
      <c r="I31" s="199"/>
      <c r="J31" s="199"/>
      <c r="K31" s="200">
        <f>ROUND((IF(K30&gt;0,K30/$F$31,0)),-3)</f>
        <v>0</v>
      </c>
      <c r="L31" s="201">
        <f t="shared" ref="L31:V31" si="4">ROUND((IF(L30&gt;0,L30/$F$31,0)),-3)</f>
        <v>0</v>
      </c>
      <c r="M31" s="201">
        <f t="shared" si="4"/>
        <v>4900000</v>
      </c>
      <c r="N31" s="201">
        <f t="shared" si="4"/>
        <v>4897000</v>
      </c>
      <c r="O31" s="201">
        <f t="shared" si="4"/>
        <v>4894000</v>
      </c>
      <c r="P31" s="201">
        <f t="shared" si="4"/>
        <v>4891000</v>
      </c>
      <c r="Q31" s="201">
        <f t="shared" si="4"/>
        <v>4887000</v>
      </c>
      <c r="R31" s="201">
        <f t="shared" si="4"/>
        <v>5384000</v>
      </c>
      <c r="S31" s="201">
        <f t="shared" si="4"/>
        <v>5381000</v>
      </c>
      <c r="T31" s="201">
        <f t="shared" si="4"/>
        <v>5377000</v>
      </c>
      <c r="U31" s="201">
        <f t="shared" si="4"/>
        <v>5373000</v>
      </c>
      <c r="V31" s="201">
        <f t="shared" si="4"/>
        <v>5370000</v>
      </c>
      <c r="W31" s="185"/>
      <c r="X31" s="185"/>
    </row>
    <row r="32" spans="2:24" ht="8.1999999999999993" customHeight="1" thickBot="1" x14ac:dyDescent="0.45">
      <c r="B32" s="25"/>
      <c r="C32" s="25"/>
      <c r="D32" s="25"/>
      <c r="E32" s="25"/>
      <c r="F32" s="25"/>
      <c r="G32" s="25"/>
      <c r="H32" s="25"/>
      <c r="I32" s="25"/>
      <c r="J32" s="25"/>
      <c r="K32" s="36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</row>
    <row r="33" spans="2:24" ht="8.1999999999999993" customHeight="1" x14ac:dyDescent="0.4">
      <c r="C33" s="5"/>
      <c r="D33" s="5"/>
      <c r="E33" s="5"/>
      <c r="F33" s="5"/>
      <c r="G33" s="5"/>
      <c r="H33" s="5"/>
      <c r="I33" s="5"/>
      <c r="J33" s="5"/>
      <c r="K33" s="7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2:24" ht="12.75" customHeight="1" x14ac:dyDescent="0.4">
      <c r="B34" s="38" t="s">
        <v>95</v>
      </c>
      <c r="C34" s="32"/>
      <c r="D34" s="32"/>
      <c r="E34" s="33"/>
      <c r="F34" s="5"/>
      <c r="G34" s="5"/>
      <c r="H34" s="5"/>
      <c r="I34" s="5"/>
      <c r="J34" s="5"/>
      <c r="K34" s="7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2:24" ht="4.05" customHeight="1" x14ac:dyDescent="0.4">
      <c r="C35" s="5"/>
      <c r="D35" s="5"/>
      <c r="E35" s="5"/>
      <c r="F35" s="5"/>
      <c r="G35" s="5"/>
      <c r="H35" s="5"/>
      <c r="I35" s="5"/>
      <c r="J35" s="5"/>
      <c r="K35" s="7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2:24" ht="12.75" customHeight="1" x14ac:dyDescent="0.4">
      <c r="C36" s="5" t="s">
        <v>2</v>
      </c>
      <c r="E36" s="5" t="s">
        <v>104</v>
      </c>
      <c r="F36" s="5"/>
      <c r="G36" s="5"/>
      <c r="H36" s="5"/>
      <c r="I36" s="5"/>
      <c r="J36" s="5"/>
      <c r="K36" s="180">
        <f>IF(AND(K30&gt;0,K6&lt;=$H$40),(-$L$16*'Project Costs &amp; Capital (L)'!$G$43),0)</f>
        <v>0</v>
      </c>
      <c r="L36" s="181">
        <f>IF(AND(L30&gt;0,L6&lt;=$H$40),(-$L$16*'Project Costs &amp; Capital (L)'!$G$43),0)</f>
        <v>0</v>
      </c>
      <c r="M36" s="181">
        <f>IF(AND(M30&gt;0,M6&lt;=$H$40),(-$L$16*'Project Costs &amp; Capital (L)'!$G$43),0)</f>
        <v>-104300</v>
      </c>
      <c r="N36" s="181">
        <f>IF(AND(N30&gt;0,N6&lt;=$H$40),(-$L$16*'Project Costs &amp; Capital (L)'!$G$43),0)</f>
        <v>-104300</v>
      </c>
      <c r="O36" s="181">
        <f>IF(AND(O30&gt;0,O6&lt;=$H$40),(-$L$16*'Project Costs &amp; Capital (L)'!$G$43),0)</f>
        <v>0</v>
      </c>
      <c r="P36" s="181">
        <f>IF(AND(P30&gt;0,P6&lt;=$H$40),(-$L$16*'Project Costs &amp; Capital (L)'!$G$43),0)</f>
        <v>0</v>
      </c>
      <c r="Q36" s="181">
        <f>IF(AND(Q30&gt;0,Q6&lt;=$H$40),(-$L$16*'Project Costs &amp; Capital (L)'!$G$43),0)</f>
        <v>0</v>
      </c>
      <c r="R36" s="181">
        <f>IF(AND(R30&gt;0,R6&lt;=$H$40),(-$L$16*'Project Costs &amp; Capital (L)'!$G$43),0)</f>
        <v>0</v>
      </c>
      <c r="S36" s="181">
        <f>IF(AND(S30&gt;0,S6&lt;=$H$40),(-$L$16*'Project Costs &amp; Capital (L)'!$G$43),0)</f>
        <v>0</v>
      </c>
      <c r="T36" s="181">
        <f>IF(AND(T30&gt;0,T6&lt;=$H$40),(-$L$16*'Project Costs &amp; Capital (L)'!$G$43),0)</f>
        <v>0</v>
      </c>
      <c r="U36" s="181">
        <f>IF(AND(U30&gt;0,U6&lt;=$H$40),(-$L$16*'Project Costs &amp; Capital (L)'!$G$43),0)</f>
        <v>0</v>
      </c>
      <c r="V36" s="181">
        <f>IF(AND(V30&gt;0,V6&lt;=$H$40),(-$L$16*'Project Costs &amp; Capital (L)'!$G$43),0)</f>
        <v>0</v>
      </c>
    </row>
    <row r="37" spans="2:24" ht="4.05" customHeight="1" x14ac:dyDescent="0.4">
      <c r="C37" s="5"/>
      <c r="E37" s="5"/>
      <c r="F37" s="5"/>
      <c r="G37" s="5"/>
      <c r="H37" s="5"/>
      <c r="I37" s="5"/>
      <c r="J37" s="5"/>
      <c r="K37" s="180"/>
      <c r="L37" s="181"/>
      <c r="M37" s="181"/>
      <c r="N37" s="181"/>
      <c r="O37" s="181"/>
      <c r="P37" s="181"/>
      <c r="Q37" s="181"/>
      <c r="R37" s="181"/>
      <c r="S37" s="181"/>
      <c r="T37" s="181"/>
      <c r="U37" s="181"/>
      <c r="V37" s="181"/>
    </row>
    <row r="38" spans="2:24" ht="12.75" hidden="1" customHeight="1" outlineLevel="1" x14ac:dyDescent="0.4">
      <c r="C38" s="202" t="s">
        <v>107</v>
      </c>
      <c r="D38" s="202"/>
      <c r="E38" s="202"/>
      <c r="F38" s="203"/>
      <c r="G38" s="202"/>
      <c r="H38" s="204">
        <v>0.75</v>
      </c>
      <c r="I38" s="203"/>
      <c r="J38" s="202"/>
      <c r="K38" s="205">
        <f>IF(K6=$H$40,K31*$H$38,0)</f>
        <v>0</v>
      </c>
      <c r="L38" s="206">
        <f>IF(L6=$H$40,L31*$H$38,0)</f>
        <v>0</v>
      </c>
      <c r="M38" s="206">
        <f>IF(M6=$H$40,M31*$H$38,0)</f>
        <v>0</v>
      </c>
      <c r="N38" s="203"/>
      <c r="O38" s="206">
        <f t="shared" ref="O38:V38" si="5">IF(O6=$H$40,O31*$H$38,0)</f>
        <v>0</v>
      </c>
      <c r="P38" s="206">
        <f t="shared" si="5"/>
        <v>0</v>
      </c>
      <c r="Q38" s="206">
        <f t="shared" si="5"/>
        <v>0</v>
      </c>
      <c r="R38" s="206">
        <f t="shared" si="5"/>
        <v>0</v>
      </c>
      <c r="S38" s="206">
        <f t="shared" si="5"/>
        <v>0</v>
      </c>
      <c r="T38" s="206">
        <f t="shared" si="5"/>
        <v>0</v>
      </c>
      <c r="U38" s="206">
        <f t="shared" si="5"/>
        <v>0</v>
      </c>
      <c r="V38" s="206">
        <f t="shared" si="5"/>
        <v>0</v>
      </c>
    </row>
    <row r="39" spans="2:24" ht="12.75" hidden="1" customHeight="1" outlineLevel="1" x14ac:dyDescent="0.4">
      <c r="C39" s="202"/>
      <c r="D39" s="202" t="s">
        <v>106</v>
      </c>
      <c r="E39" s="202"/>
      <c r="F39" s="203"/>
      <c r="G39" s="202"/>
      <c r="H39" s="207">
        <f>IF(N6=$H$40,N31*$H$38,0)</f>
        <v>3672750</v>
      </c>
      <c r="I39" s="204"/>
      <c r="J39" s="202"/>
      <c r="K39" s="205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</row>
    <row r="40" spans="2:24" ht="12.75" hidden="1" customHeight="1" outlineLevel="1" x14ac:dyDescent="0.4">
      <c r="C40" s="202"/>
      <c r="D40" s="202" t="s">
        <v>118</v>
      </c>
      <c r="E40" s="202"/>
      <c r="F40" s="203"/>
      <c r="G40" s="202"/>
      <c r="H40" s="209">
        <v>3</v>
      </c>
      <c r="I40" s="204"/>
      <c r="J40" s="202"/>
      <c r="K40" s="205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</row>
    <row r="41" spans="2:24" ht="12.75" hidden="1" customHeight="1" outlineLevel="1" x14ac:dyDescent="0.4">
      <c r="C41" s="202"/>
      <c r="D41" s="202" t="s">
        <v>108</v>
      </c>
      <c r="E41" s="202"/>
      <c r="F41" s="204">
        <v>0.05</v>
      </c>
      <c r="G41" s="208" t="s">
        <v>109</v>
      </c>
      <c r="H41" s="209">
        <v>30</v>
      </c>
      <c r="I41" s="210">
        <f>-PMT(0.05/12,H41*12,1)*12</f>
        <v>6.4418594761456699E-2</v>
      </c>
      <c r="J41" s="203"/>
      <c r="K41" s="205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</row>
    <row r="42" spans="2:24" ht="12.75" customHeight="1" collapsed="1" x14ac:dyDescent="0.4">
      <c r="C42" s="5"/>
      <c r="D42" s="5"/>
      <c r="E42" s="5" t="s">
        <v>105</v>
      </c>
      <c r="F42" s="48"/>
      <c r="G42" s="5"/>
      <c r="H42" s="22">
        <f>H39*I41</f>
        <v>236593.39391014009</v>
      </c>
      <c r="J42" s="5"/>
      <c r="K42" s="182">
        <f t="shared" ref="K42:V42" si="6">IF(K6&gt;$H$40,-$H$42,0)</f>
        <v>0</v>
      </c>
      <c r="L42" s="183">
        <f t="shared" si="6"/>
        <v>0</v>
      </c>
      <c r="M42" s="183">
        <f t="shared" si="6"/>
        <v>0</v>
      </c>
      <c r="N42" s="183">
        <f t="shared" si="6"/>
        <v>0</v>
      </c>
      <c r="O42" s="183">
        <f t="shared" si="6"/>
        <v>-236593.39391014009</v>
      </c>
      <c r="P42" s="183">
        <f t="shared" si="6"/>
        <v>-236593.39391014009</v>
      </c>
      <c r="Q42" s="183">
        <f t="shared" si="6"/>
        <v>-236593.39391014009</v>
      </c>
      <c r="R42" s="183">
        <f t="shared" si="6"/>
        <v>-236593.39391014009</v>
      </c>
      <c r="S42" s="183">
        <f t="shared" si="6"/>
        <v>-236593.39391014009</v>
      </c>
      <c r="T42" s="183">
        <f t="shared" si="6"/>
        <v>-236593.39391014009</v>
      </c>
      <c r="U42" s="183">
        <f t="shared" si="6"/>
        <v>-236593.39391014009</v>
      </c>
      <c r="V42" s="183">
        <f t="shared" si="6"/>
        <v>-236593.39391014009</v>
      </c>
    </row>
    <row r="43" spans="2:24" ht="4.05" hidden="1" customHeight="1" outlineLevel="1" x14ac:dyDescent="0.4">
      <c r="C43" s="3"/>
      <c r="D43" s="3"/>
      <c r="E43" s="3"/>
      <c r="F43" s="130"/>
      <c r="G43" s="3"/>
      <c r="H43" s="3"/>
      <c r="I43" s="3"/>
      <c r="J43" s="3"/>
      <c r="K43" s="214"/>
      <c r="L43" s="215"/>
      <c r="M43" s="215"/>
      <c r="N43" s="215"/>
      <c r="O43" s="215"/>
      <c r="P43" s="215"/>
      <c r="Q43" s="215"/>
      <c r="R43" s="215"/>
      <c r="S43" s="215"/>
      <c r="T43" s="215"/>
      <c r="U43" s="215"/>
      <c r="V43" s="215"/>
      <c r="W43" s="31"/>
      <c r="X43" s="31"/>
    </row>
    <row r="44" spans="2:24" ht="12.75" hidden="1" customHeight="1" outlineLevel="1" x14ac:dyDescent="0.4">
      <c r="C44" s="202" t="s">
        <v>110</v>
      </c>
      <c r="D44" s="202"/>
      <c r="E44" s="202"/>
      <c r="F44" s="204"/>
      <c r="G44" s="202"/>
      <c r="H44" s="202"/>
      <c r="I44" s="202"/>
      <c r="J44" s="202"/>
      <c r="K44" s="205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</row>
    <row r="45" spans="2:24" ht="12.75" hidden="1" customHeight="1" outlineLevel="1" x14ac:dyDescent="0.4">
      <c r="C45" s="202"/>
      <c r="D45" s="202" t="s">
        <v>116</v>
      </c>
      <c r="E45" s="202"/>
      <c r="F45" s="204"/>
      <c r="G45" s="202"/>
      <c r="H45" s="202"/>
      <c r="I45" s="202"/>
      <c r="J45" s="202"/>
      <c r="K45" s="205">
        <f t="shared" ref="K45:V45" si="7">IF(K6=($H$40),$H$39,0)</f>
        <v>0</v>
      </c>
      <c r="L45" s="206">
        <f t="shared" si="7"/>
        <v>0</v>
      </c>
      <c r="M45" s="206">
        <f t="shared" si="7"/>
        <v>0</v>
      </c>
      <c r="N45" s="206">
        <f t="shared" si="7"/>
        <v>3672750</v>
      </c>
      <c r="O45" s="206">
        <f t="shared" si="7"/>
        <v>0</v>
      </c>
      <c r="P45" s="206">
        <f t="shared" si="7"/>
        <v>0</v>
      </c>
      <c r="Q45" s="206">
        <f t="shared" si="7"/>
        <v>0</v>
      </c>
      <c r="R45" s="206">
        <f t="shared" si="7"/>
        <v>0</v>
      </c>
      <c r="S45" s="206">
        <f t="shared" si="7"/>
        <v>0</v>
      </c>
      <c r="T45" s="206">
        <f t="shared" si="7"/>
        <v>0</v>
      </c>
      <c r="U45" s="206">
        <f t="shared" si="7"/>
        <v>0</v>
      </c>
      <c r="V45" s="206">
        <f t="shared" si="7"/>
        <v>0</v>
      </c>
    </row>
    <row r="46" spans="2:24" ht="12.75" hidden="1" customHeight="1" outlineLevel="1" x14ac:dyDescent="0.4">
      <c r="C46" s="202"/>
      <c r="D46" s="202" t="s">
        <v>111</v>
      </c>
      <c r="E46" s="202"/>
      <c r="F46" s="204"/>
      <c r="G46" s="202"/>
      <c r="H46" s="202"/>
      <c r="I46" s="202"/>
      <c r="J46" s="202"/>
      <c r="K46" s="205"/>
      <c r="L46" s="206">
        <f>L45+K50</f>
        <v>0</v>
      </c>
      <c r="M46" s="206">
        <f t="shared" ref="M46:V46" si="8">M45+L50</f>
        <v>0</v>
      </c>
      <c r="N46" s="206">
        <f t="shared" si="8"/>
        <v>3672750</v>
      </c>
      <c r="O46" s="206">
        <f t="shared" si="8"/>
        <v>3672750</v>
      </c>
      <c r="P46" s="206">
        <f t="shared" si="8"/>
        <v>3619794.1060898597</v>
      </c>
      <c r="Q46" s="206">
        <f t="shared" si="8"/>
        <v>3564190.4174842127</v>
      </c>
      <c r="R46" s="206">
        <f t="shared" si="8"/>
        <v>3505806.544448283</v>
      </c>
      <c r="S46" s="206">
        <f t="shared" si="8"/>
        <v>3444503.4777605571</v>
      </c>
      <c r="T46" s="206">
        <f t="shared" si="8"/>
        <v>3380135.257738445</v>
      </c>
      <c r="U46" s="206">
        <f t="shared" si="8"/>
        <v>3312548.626715227</v>
      </c>
      <c r="V46" s="206">
        <f t="shared" si="8"/>
        <v>3241582.6641408484</v>
      </c>
    </row>
    <row r="47" spans="2:24" ht="12.75" hidden="1" customHeight="1" outlineLevel="1" x14ac:dyDescent="0.4">
      <c r="C47" s="202"/>
      <c r="D47" s="202" t="s">
        <v>112</v>
      </c>
      <c r="E47" s="202"/>
      <c r="F47" s="204"/>
      <c r="G47" s="202"/>
      <c r="H47" s="202"/>
      <c r="I47" s="202"/>
      <c r="J47" s="202"/>
      <c r="K47" s="205">
        <f>-K42</f>
        <v>0</v>
      </c>
      <c r="L47" s="206">
        <f t="shared" ref="L47:V47" si="9">-L42</f>
        <v>0</v>
      </c>
      <c r="M47" s="206">
        <f t="shared" si="9"/>
        <v>0</v>
      </c>
      <c r="N47" s="206">
        <f t="shared" si="9"/>
        <v>0</v>
      </c>
      <c r="O47" s="206">
        <f t="shared" si="9"/>
        <v>236593.39391014009</v>
      </c>
      <c r="P47" s="206">
        <f t="shared" si="9"/>
        <v>236593.39391014009</v>
      </c>
      <c r="Q47" s="206">
        <f t="shared" si="9"/>
        <v>236593.39391014009</v>
      </c>
      <c r="R47" s="206">
        <f t="shared" si="9"/>
        <v>236593.39391014009</v>
      </c>
      <c r="S47" s="206">
        <f t="shared" si="9"/>
        <v>236593.39391014009</v>
      </c>
      <c r="T47" s="206">
        <f t="shared" si="9"/>
        <v>236593.39391014009</v>
      </c>
      <c r="U47" s="206">
        <f t="shared" si="9"/>
        <v>236593.39391014009</v>
      </c>
      <c r="V47" s="206">
        <f t="shared" si="9"/>
        <v>236593.39391014009</v>
      </c>
    </row>
    <row r="48" spans="2:24" ht="12.75" hidden="1" customHeight="1" outlineLevel="1" x14ac:dyDescent="0.4">
      <c r="C48" s="202"/>
      <c r="D48" s="202" t="s">
        <v>113</v>
      </c>
      <c r="E48" s="202"/>
      <c r="F48" s="204"/>
      <c r="G48" s="202"/>
      <c r="H48" s="202"/>
      <c r="I48" s="202"/>
      <c r="J48" s="202"/>
      <c r="K48" s="205">
        <f>IF(K47&gt;0,-K46*$F$41,0)</f>
        <v>0</v>
      </c>
      <c r="L48" s="206">
        <f t="shared" ref="L48:V48" si="10">IF(L47&gt;0,-L46*$F$41,0)</f>
        <v>0</v>
      </c>
      <c r="M48" s="206">
        <f t="shared" si="10"/>
        <v>0</v>
      </c>
      <c r="N48" s="206">
        <f t="shared" si="10"/>
        <v>0</v>
      </c>
      <c r="O48" s="206">
        <f t="shared" si="10"/>
        <v>-183637.5</v>
      </c>
      <c r="P48" s="206">
        <f t="shared" si="10"/>
        <v>-180989.70530449299</v>
      </c>
      <c r="Q48" s="206">
        <f t="shared" si="10"/>
        <v>-178209.52087421063</v>
      </c>
      <c r="R48" s="206">
        <f t="shared" si="10"/>
        <v>-175290.32722241417</v>
      </c>
      <c r="S48" s="206">
        <f t="shared" si="10"/>
        <v>-172225.17388802787</v>
      </c>
      <c r="T48" s="206">
        <f t="shared" si="10"/>
        <v>-169006.76288692225</v>
      </c>
      <c r="U48" s="206">
        <f t="shared" si="10"/>
        <v>-165627.43133576136</v>
      </c>
      <c r="V48" s="206">
        <f t="shared" si="10"/>
        <v>-162079.13320704244</v>
      </c>
    </row>
    <row r="49" spans="2:27" ht="12.75" hidden="1" customHeight="1" outlineLevel="1" x14ac:dyDescent="0.4">
      <c r="C49" s="202"/>
      <c r="D49" s="202" t="s">
        <v>114</v>
      </c>
      <c r="E49" s="202"/>
      <c r="F49" s="204"/>
      <c r="G49" s="202"/>
      <c r="H49" s="202"/>
      <c r="I49" s="202"/>
      <c r="J49" s="202"/>
      <c r="K49" s="211">
        <f>K47+K48</f>
        <v>0</v>
      </c>
      <c r="L49" s="212">
        <f t="shared" ref="L49:V49" si="11">L47+L48</f>
        <v>0</v>
      </c>
      <c r="M49" s="213">
        <f t="shared" si="11"/>
        <v>0</v>
      </c>
      <c r="N49" s="213">
        <f t="shared" si="11"/>
        <v>0</v>
      </c>
      <c r="O49" s="213">
        <f t="shared" si="11"/>
        <v>52955.89391014009</v>
      </c>
      <c r="P49" s="213">
        <f t="shared" si="11"/>
        <v>55603.688605647098</v>
      </c>
      <c r="Q49" s="213">
        <f t="shared" si="11"/>
        <v>58383.873035929457</v>
      </c>
      <c r="R49" s="213">
        <f t="shared" si="11"/>
        <v>61303.066687725921</v>
      </c>
      <c r="S49" s="213">
        <f t="shared" si="11"/>
        <v>64368.220022112218</v>
      </c>
      <c r="T49" s="213">
        <f t="shared" si="11"/>
        <v>67586.631023217837</v>
      </c>
      <c r="U49" s="213">
        <f t="shared" si="11"/>
        <v>70965.962574378733</v>
      </c>
      <c r="V49" s="213">
        <f t="shared" si="11"/>
        <v>74514.260703097651</v>
      </c>
    </row>
    <row r="50" spans="2:27" ht="12.75" hidden="1" customHeight="1" outlineLevel="1" x14ac:dyDescent="0.4">
      <c r="C50" s="202"/>
      <c r="D50" s="202" t="s">
        <v>115</v>
      </c>
      <c r="E50" s="202"/>
      <c r="F50" s="204"/>
      <c r="G50" s="202"/>
      <c r="H50" s="202"/>
      <c r="I50" s="202"/>
      <c r="J50" s="202"/>
      <c r="K50" s="205">
        <f>K46-K49</f>
        <v>0</v>
      </c>
      <c r="L50" s="206">
        <f t="shared" ref="L50:V50" si="12">L46-L49</f>
        <v>0</v>
      </c>
      <c r="M50" s="206">
        <f t="shared" si="12"/>
        <v>0</v>
      </c>
      <c r="N50" s="206">
        <f t="shared" si="12"/>
        <v>3672750</v>
      </c>
      <c r="O50" s="206">
        <f t="shared" si="12"/>
        <v>3619794.1060898597</v>
      </c>
      <c r="P50" s="206">
        <f t="shared" si="12"/>
        <v>3564190.4174842127</v>
      </c>
      <c r="Q50" s="206">
        <f t="shared" si="12"/>
        <v>3505806.544448283</v>
      </c>
      <c r="R50" s="206">
        <f t="shared" si="12"/>
        <v>3444503.4777605571</v>
      </c>
      <c r="S50" s="206">
        <f t="shared" si="12"/>
        <v>3380135.257738445</v>
      </c>
      <c r="T50" s="206">
        <f t="shared" si="12"/>
        <v>3312548.626715227</v>
      </c>
      <c r="U50" s="206">
        <f t="shared" si="12"/>
        <v>3241582.6641408484</v>
      </c>
      <c r="V50" s="206">
        <f t="shared" si="12"/>
        <v>3167068.4034377509</v>
      </c>
    </row>
    <row r="51" spans="2:27" ht="12.75" hidden="1" customHeight="1" outlineLevel="1" x14ac:dyDescent="0.4">
      <c r="C51" s="202"/>
      <c r="D51" s="202"/>
      <c r="E51" s="202"/>
      <c r="F51" s="204"/>
      <c r="G51" s="202"/>
      <c r="H51" s="202"/>
      <c r="I51" s="202"/>
      <c r="J51" s="202"/>
      <c r="K51" s="205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</row>
    <row r="52" spans="2:27" s="59" customFormat="1" ht="12.75" customHeight="1" collapsed="1" thickBot="1" x14ac:dyDescent="0.45">
      <c r="C52" s="145" t="s">
        <v>97</v>
      </c>
      <c r="D52" s="145"/>
      <c r="E52" s="145"/>
      <c r="F52" s="145"/>
      <c r="G52" s="145"/>
      <c r="H52" s="145"/>
      <c r="I52" s="145"/>
      <c r="J52" s="145"/>
      <c r="K52" s="146">
        <f t="shared" ref="K52:V52" si="13">K30+K36+K42</f>
        <v>0</v>
      </c>
      <c r="L52" s="147">
        <f t="shared" si="13"/>
        <v>0</v>
      </c>
      <c r="M52" s="147">
        <f t="shared" si="13"/>
        <v>140700</v>
      </c>
      <c r="N52" s="147">
        <f t="shared" si="13"/>
        <v>140550</v>
      </c>
      <c r="O52" s="147">
        <f t="shared" si="13"/>
        <v>8102.1060898599098</v>
      </c>
      <c r="P52" s="147">
        <f t="shared" si="13"/>
        <v>7942.9710898599005</v>
      </c>
      <c r="Q52" s="147">
        <f t="shared" si="13"/>
        <v>7779.0620398599131</v>
      </c>
      <c r="R52" s="147">
        <f t="shared" si="13"/>
        <v>32610.235718359938</v>
      </c>
      <c r="S52" s="147">
        <f t="shared" si="13"/>
        <v>32436.344607214909</v>
      </c>
      <c r="T52" s="147">
        <f t="shared" si="13"/>
        <v>32257.236762735585</v>
      </c>
      <c r="U52" s="147">
        <f t="shared" si="13"/>
        <v>32072.755682921852</v>
      </c>
      <c r="V52" s="147">
        <f t="shared" si="13"/>
        <v>31882.740170713689</v>
      </c>
      <c r="W52" s="35"/>
      <c r="X52" s="35"/>
      <c r="Y52" s="35"/>
    </row>
    <row r="53" spans="2:27" s="59" customFormat="1" ht="4.05" customHeight="1" thickTop="1" x14ac:dyDescent="0.4">
      <c r="C53" s="73"/>
      <c r="D53" s="73"/>
      <c r="E53" s="73"/>
      <c r="F53" s="73"/>
      <c r="G53" s="73"/>
      <c r="H53" s="73"/>
      <c r="I53" s="73"/>
      <c r="J53" s="73"/>
      <c r="K53" s="184"/>
      <c r="L53" s="170"/>
      <c r="M53" s="170"/>
      <c r="N53" s="170"/>
      <c r="O53" s="170"/>
      <c r="P53" s="170"/>
      <c r="Q53" s="170"/>
      <c r="R53" s="170"/>
      <c r="S53" s="170"/>
      <c r="T53" s="170"/>
      <c r="U53" s="170"/>
      <c r="V53" s="170"/>
      <c r="W53" s="185"/>
      <c r="X53" s="185"/>
      <c r="Y53" s="185"/>
      <c r="Z53" s="186"/>
      <c r="AA53" s="186"/>
    </row>
    <row r="54" spans="2:27" s="59" customFormat="1" ht="12.75" customHeight="1" thickBot="1" x14ac:dyDescent="0.45">
      <c r="C54" s="145" t="s">
        <v>117</v>
      </c>
      <c r="D54" s="145"/>
      <c r="E54" s="145"/>
      <c r="F54" s="145"/>
      <c r="G54" s="145"/>
      <c r="H54" s="145"/>
      <c r="I54" s="145"/>
      <c r="J54" s="145"/>
      <c r="K54" s="146">
        <f>IF(K45&gt;0,K45-$L$16,0)</f>
        <v>0</v>
      </c>
      <c r="L54" s="147">
        <f t="shared" ref="L54:V54" si="14">IF(L45&gt;0,L45-$L$16,0)</f>
        <v>0</v>
      </c>
      <c r="M54" s="147">
        <f t="shared" si="14"/>
        <v>0</v>
      </c>
      <c r="N54" s="147">
        <f t="shared" si="14"/>
        <v>1586750.0000000002</v>
      </c>
      <c r="O54" s="147">
        <f t="shared" si="14"/>
        <v>0</v>
      </c>
      <c r="P54" s="147">
        <f t="shared" si="14"/>
        <v>0</v>
      </c>
      <c r="Q54" s="147">
        <f t="shared" si="14"/>
        <v>0</v>
      </c>
      <c r="R54" s="147">
        <f t="shared" si="14"/>
        <v>0</v>
      </c>
      <c r="S54" s="147">
        <f t="shared" si="14"/>
        <v>0</v>
      </c>
      <c r="T54" s="147">
        <f t="shared" si="14"/>
        <v>0</v>
      </c>
      <c r="U54" s="147">
        <f t="shared" si="14"/>
        <v>0</v>
      </c>
      <c r="V54" s="147">
        <f t="shared" si="14"/>
        <v>0</v>
      </c>
      <c r="W54" s="185"/>
      <c r="X54" s="185"/>
      <c r="Y54" s="185"/>
      <c r="Z54" s="186"/>
      <c r="AA54" s="186"/>
    </row>
    <row r="55" spans="2:27" s="59" customFormat="1" ht="12.75" customHeight="1" thickTop="1" x14ac:dyDescent="0.4">
      <c r="C55" s="73"/>
      <c r="D55" s="73"/>
      <c r="E55" s="73"/>
      <c r="F55" s="73"/>
      <c r="G55" s="73"/>
      <c r="H55" s="73"/>
      <c r="I55" s="73"/>
      <c r="J55" s="73"/>
      <c r="K55" s="184"/>
      <c r="L55" s="170"/>
      <c r="M55" s="170"/>
      <c r="N55" s="170"/>
      <c r="O55" s="170"/>
      <c r="P55" s="170"/>
      <c r="Q55" s="170"/>
      <c r="R55" s="170"/>
      <c r="S55" s="170"/>
      <c r="T55" s="170"/>
      <c r="U55" s="170"/>
      <c r="V55" s="170"/>
      <c r="W55" s="185"/>
      <c r="X55" s="185"/>
      <c r="Y55" s="185"/>
      <c r="Z55" s="186"/>
      <c r="AA55" s="186"/>
    </row>
    <row r="56" spans="2:27" s="59" customFormat="1" ht="12.75" customHeight="1" x14ac:dyDescent="0.4">
      <c r="C56" s="19" t="s">
        <v>63</v>
      </c>
      <c r="D56" s="34"/>
      <c r="E56" s="34"/>
      <c r="F56" s="34"/>
      <c r="G56" s="34"/>
      <c r="H56" s="34"/>
      <c r="I56" s="53">
        <v>10</v>
      </c>
      <c r="J56" s="34"/>
      <c r="K56" s="24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</row>
    <row r="57" spans="2:27" s="59" customFormat="1" ht="12.75" customHeight="1" x14ac:dyDescent="0.4">
      <c r="C57" s="19" t="s">
        <v>10</v>
      </c>
      <c r="D57" s="5"/>
      <c r="E57" s="34"/>
      <c r="F57" s="34"/>
      <c r="G57" s="34"/>
      <c r="H57" s="34"/>
      <c r="I57" s="48">
        <v>0.05</v>
      </c>
      <c r="J57" s="34"/>
      <c r="K57" s="29">
        <f>IF(K6=$I$56,K30/$I$57,0)</f>
        <v>0</v>
      </c>
      <c r="L57" s="172">
        <f t="shared" ref="L57:V57" si="15">IF(L6=$I$56,L30/$I$57,0)</f>
        <v>0</v>
      </c>
      <c r="M57" s="172">
        <f t="shared" si="15"/>
        <v>0</v>
      </c>
      <c r="N57" s="172">
        <f t="shared" si="15"/>
        <v>0</v>
      </c>
      <c r="O57" s="172">
        <f t="shared" si="15"/>
        <v>0</v>
      </c>
      <c r="P57" s="172">
        <f t="shared" si="15"/>
        <v>0</v>
      </c>
      <c r="Q57" s="172">
        <f t="shared" si="15"/>
        <v>0</v>
      </c>
      <c r="R57" s="172">
        <f t="shared" si="15"/>
        <v>0</v>
      </c>
      <c r="S57" s="172">
        <f t="shared" si="15"/>
        <v>0</v>
      </c>
      <c r="T57" s="172">
        <f t="shared" si="15"/>
        <v>0</v>
      </c>
      <c r="U57" s="172">
        <f t="shared" si="15"/>
        <v>5373322.9918612381</v>
      </c>
      <c r="V57" s="172">
        <f t="shared" si="15"/>
        <v>0</v>
      </c>
    </row>
    <row r="58" spans="2:27" s="59" customFormat="1" ht="12.75" customHeight="1" x14ac:dyDescent="0.4">
      <c r="C58" s="34"/>
      <c r="D58" s="5" t="s">
        <v>11</v>
      </c>
      <c r="E58" s="5" t="s">
        <v>13</v>
      </c>
      <c r="F58" s="34"/>
      <c r="G58" s="34"/>
      <c r="H58" s="34"/>
      <c r="I58" s="48">
        <v>0.04</v>
      </c>
      <c r="J58" s="34"/>
      <c r="K58" s="104">
        <f>IF(K57&gt;0,K57*-$I$58,0)</f>
        <v>0</v>
      </c>
      <c r="L58" s="61">
        <f>IF(L57&gt;0,L57*-$I$58,0)</f>
        <v>0</v>
      </c>
      <c r="M58" s="61">
        <f t="shared" ref="M58:V58" si="16">IF(M57&gt;0,M57*-$I$58,0)</f>
        <v>0</v>
      </c>
      <c r="N58" s="61">
        <f t="shared" si="16"/>
        <v>0</v>
      </c>
      <c r="O58" s="61">
        <f t="shared" si="16"/>
        <v>0</v>
      </c>
      <c r="P58" s="61">
        <f t="shared" si="16"/>
        <v>0</v>
      </c>
      <c r="Q58" s="61">
        <f t="shared" si="16"/>
        <v>0</v>
      </c>
      <c r="R58" s="61">
        <f t="shared" si="16"/>
        <v>0</v>
      </c>
      <c r="S58" s="61">
        <f t="shared" si="16"/>
        <v>0</v>
      </c>
      <c r="T58" s="61">
        <f t="shared" si="16"/>
        <v>0</v>
      </c>
      <c r="U58" s="61">
        <f t="shared" si="16"/>
        <v>-214932.91967444954</v>
      </c>
      <c r="V58" s="61">
        <f t="shared" si="16"/>
        <v>0</v>
      </c>
    </row>
    <row r="59" spans="2:27" s="59" customFormat="1" ht="12.75" customHeight="1" x14ac:dyDescent="0.4">
      <c r="C59" s="34"/>
      <c r="D59" s="5" t="s">
        <v>11</v>
      </c>
      <c r="E59" s="5" t="s">
        <v>12</v>
      </c>
      <c r="F59" s="34"/>
      <c r="G59" s="34"/>
      <c r="H59" s="34"/>
      <c r="I59" s="34"/>
      <c r="J59" s="34"/>
      <c r="K59" s="106">
        <f>IF(K57&gt;0,-K50,0)</f>
        <v>0</v>
      </c>
      <c r="L59" s="62">
        <f>IF(L57&gt;0,-L50,0)</f>
        <v>0</v>
      </c>
      <c r="M59" s="63">
        <f>IF(M57&gt;0,-M50,0)</f>
        <v>0</v>
      </c>
      <c r="N59" s="63">
        <f t="shared" ref="N59:V59" si="17">IF(N57&gt;0,-N50,0)</f>
        <v>0</v>
      </c>
      <c r="O59" s="63">
        <f t="shared" si="17"/>
        <v>0</v>
      </c>
      <c r="P59" s="63">
        <f t="shared" si="17"/>
        <v>0</v>
      </c>
      <c r="Q59" s="63">
        <f t="shared" si="17"/>
        <v>0</v>
      </c>
      <c r="R59" s="63">
        <f t="shared" si="17"/>
        <v>0</v>
      </c>
      <c r="S59" s="63">
        <f t="shared" si="17"/>
        <v>0</v>
      </c>
      <c r="T59" s="63">
        <f t="shared" si="17"/>
        <v>0</v>
      </c>
      <c r="U59" s="63">
        <f t="shared" si="17"/>
        <v>-3241582.6641408484</v>
      </c>
      <c r="V59" s="63">
        <f t="shared" si="17"/>
        <v>0</v>
      </c>
    </row>
    <row r="60" spans="2:27" s="59" customFormat="1" ht="12.75" customHeight="1" x14ac:dyDescent="0.4">
      <c r="C60" s="145" t="s">
        <v>14</v>
      </c>
      <c r="D60" s="193"/>
      <c r="E60" s="193"/>
      <c r="F60" s="193"/>
      <c r="G60" s="193"/>
      <c r="H60" s="193"/>
      <c r="I60" s="193"/>
      <c r="J60" s="193"/>
      <c r="K60" s="194">
        <f>SUM(K57:K59)</f>
        <v>0</v>
      </c>
      <c r="L60" s="195">
        <f>SUM(L57:L59)</f>
        <v>0</v>
      </c>
      <c r="M60" s="195">
        <f t="shared" ref="M60:V60" si="18">SUM(M57:M59)</f>
        <v>0</v>
      </c>
      <c r="N60" s="195">
        <f>SUM(N57:N59)</f>
        <v>0</v>
      </c>
      <c r="O60" s="195">
        <f t="shared" si="18"/>
        <v>0</v>
      </c>
      <c r="P60" s="195">
        <f t="shared" si="18"/>
        <v>0</v>
      </c>
      <c r="Q60" s="195">
        <f t="shared" si="18"/>
        <v>0</v>
      </c>
      <c r="R60" s="195">
        <f t="shared" si="18"/>
        <v>0</v>
      </c>
      <c r="S60" s="195">
        <f t="shared" si="18"/>
        <v>0</v>
      </c>
      <c r="T60" s="195">
        <f t="shared" si="18"/>
        <v>0</v>
      </c>
      <c r="U60" s="195">
        <f t="shared" si="18"/>
        <v>1916807.4080459401</v>
      </c>
      <c r="V60" s="195">
        <f t="shared" si="18"/>
        <v>0</v>
      </c>
    </row>
    <row r="61" spans="2:27" s="59" customFormat="1" ht="12.75" customHeight="1" x14ac:dyDescent="0.4">
      <c r="C61" s="19"/>
      <c r="D61" s="34"/>
      <c r="E61" s="34"/>
      <c r="F61" s="34"/>
      <c r="G61" s="34"/>
      <c r="H61" s="34"/>
      <c r="I61" s="34"/>
      <c r="J61" s="34"/>
      <c r="K61" s="24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</row>
    <row r="62" spans="2:27" s="59" customFormat="1" ht="12.75" customHeight="1" thickBot="1" x14ac:dyDescent="0.45">
      <c r="C62" s="150" t="s">
        <v>101</v>
      </c>
      <c r="D62" s="151"/>
      <c r="E62" s="151"/>
      <c r="F62" s="151"/>
      <c r="G62" s="151"/>
      <c r="H62" s="151"/>
      <c r="I62" s="151"/>
      <c r="J62" s="151"/>
      <c r="K62" s="226">
        <f>IF(K6&lt;=$I$56,-K17+K52+K54+K60,"")</f>
        <v>-795000.00000000023</v>
      </c>
      <c r="L62" s="227">
        <f t="shared" ref="L62:V62" si="19">IF(L6&lt;=$I$56,-L17+L52+L54+L60,"")</f>
        <v>-99000.000000000029</v>
      </c>
      <c r="M62" s="227">
        <f t="shared" si="19"/>
        <v>140700</v>
      </c>
      <c r="N62" s="227">
        <f t="shared" si="19"/>
        <v>1727300.0000000002</v>
      </c>
      <c r="O62" s="227">
        <f t="shared" si="19"/>
        <v>8102.1060898599098</v>
      </c>
      <c r="P62" s="227">
        <f t="shared" si="19"/>
        <v>7942.9710898599005</v>
      </c>
      <c r="Q62" s="227">
        <f t="shared" si="19"/>
        <v>7779.0620398599131</v>
      </c>
      <c r="R62" s="227">
        <f t="shared" si="19"/>
        <v>32610.235718359938</v>
      </c>
      <c r="S62" s="227">
        <f t="shared" si="19"/>
        <v>32436.344607214909</v>
      </c>
      <c r="T62" s="227">
        <f t="shared" si="19"/>
        <v>32257.236762735585</v>
      </c>
      <c r="U62" s="227">
        <f t="shared" si="19"/>
        <v>1948880.1637288621</v>
      </c>
      <c r="V62" s="227" t="str">
        <f t="shared" si="19"/>
        <v/>
      </c>
    </row>
    <row r="63" spans="2:27" s="59" customFormat="1" ht="8.1999999999999993" customHeight="1" thickTop="1" thickBot="1" x14ac:dyDescent="0.45">
      <c r="B63" s="25"/>
      <c r="C63" s="25"/>
      <c r="D63" s="25"/>
      <c r="E63" s="25"/>
      <c r="F63" s="25"/>
      <c r="G63" s="25"/>
      <c r="H63" s="25"/>
      <c r="I63" s="25"/>
      <c r="J63" s="25"/>
      <c r="K63" s="36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</row>
    <row r="64" spans="2:27" s="59" customFormat="1" ht="8.1999999999999993" customHeight="1" x14ac:dyDescent="0.4">
      <c r="B64"/>
      <c r="C64" s="5"/>
      <c r="D64" s="5"/>
      <c r="E64" s="5"/>
      <c r="F64" s="5"/>
      <c r="G64" s="5"/>
      <c r="H64" s="5"/>
      <c r="I64" s="5"/>
      <c r="J64" s="5"/>
      <c r="K64" s="7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2:22" s="59" customFormat="1" ht="12.75" customHeight="1" x14ac:dyDescent="0.4">
      <c r="B65" s="38" t="s">
        <v>18</v>
      </c>
      <c r="C65" s="32"/>
      <c r="D65" s="32"/>
      <c r="E65" s="33"/>
      <c r="I65" s="5"/>
      <c r="J65" s="5"/>
      <c r="K65" s="7"/>
      <c r="L65" s="5"/>
      <c r="M65" s="5"/>
      <c r="N65" s="5"/>
      <c r="O65" s="5"/>
      <c r="P65" s="248"/>
      <c r="Q65" s="248"/>
      <c r="R65" s="248"/>
      <c r="S65" s="5"/>
      <c r="T65" s="5"/>
      <c r="U65" s="5"/>
      <c r="V65" s="5"/>
    </row>
    <row r="66" spans="2:22" s="59" customFormat="1" ht="12.75" customHeight="1" x14ac:dyDescent="0.4">
      <c r="B66" s="46"/>
      <c r="C66" s="44"/>
      <c r="D66" s="44"/>
      <c r="E66" s="44"/>
      <c r="F66" s="244" t="s">
        <v>98</v>
      </c>
      <c r="G66" s="244"/>
      <c r="H66" s="244"/>
      <c r="I66" s="5"/>
      <c r="J66" s="5"/>
      <c r="K66" s="7"/>
      <c r="L66" s="5"/>
      <c r="M66" s="5"/>
      <c r="N66" s="5"/>
      <c r="O66" s="5"/>
      <c r="P66" s="173"/>
      <c r="Q66" s="173"/>
      <c r="R66" s="173"/>
      <c r="S66" s="5"/>
      <c r="T66" s="5"/>
      <c r="U66" s="5"/>
      <c r="V66" s="5"/>
    </row>
    <row r="67" spans="2:22" s="59" customFormat="1" ht="12.75" customHeight="1" x14ac:dyDescent="0.4">
      <c r="C67" s="19"/>
      <c r="D67" s="34"/>
      <c r="E67" s="34"/>
      <c r="F67" s="34"/>
      <c r="G67" s="34"/>
      <c r="H67" s="152" t="s">
        <v>82</v>
      </c>
      <c r="I67" s="34"/>
      <c r="J67" s="34"/>
      <c r="K67" s="153" t="s">
        <v>83</v>
      </c>
      <c r="L67" s="155" t="s">
        <v>17</v>
      </c>
      <c r="M67" s="156" t="s">
        <v>84</v>
      </c>
      <c r="N67" s="30"/>
      <c r="O67" s="30"/>
      <c r="P67" s="171"/>
      <c r="Q67" s="171"/>
      <c r="R67" s="171"/>
      <c r="S67" s="30"/>
      <c r="T67" s="30"/>
      <c r="U67" s="30"/>
      <c r="V67" s="30"/>
    </row>
    <row r="68" spans="2:22" s="59" customFormat="1" ht="12.75" customHeight="1" x14ac:dyDescent="0.4">
      <c r="B68" s="128"/>
      <c r="C68" s="19" t="s">
        <v>67</v>
      </c>
      <c r="D68" s="34"/>
      <c r="E68" s="34"/>
      <c r="F68" s="119">
        <f>F69-0.005</f>
        <v>4.0000000000000008E-2</v>
      </c>
      <c r="G68" s="34"/>
      <c r="H68" s="117">
        <f>$M$30/F68</f>
        <v>6124999.9999999991</v>
      </c>
      <c r="I68" s="137"/>
      <c r="J68" s="138"/>
      <c r="K68" s="154">
        <f>K69</f>
        <v>-2900000</v>
      </c>
      <c r="L68" s="30">
        <f t="shared" ref="L68:L69" si="20">H68+K68</f>
        <v>3224999.9999999991</v>
      </c>
      <c r="M68" s="157">
        <f t="shared" ref="M68:M69" si="21">L68/-K68</f>
        <v>1.1120689655172411</v>
      </c>
      <c r="N68" s="30"/>
      <c r="O68" s="30"/>
      <c r="P68" s="172"/>
      <c r="Q68" s="172"/>
      <c r="R68" s="172"/>
      <c r="S68" s="30"/>
      <c r="T68" s="30"/>
      <c r="U68" s="30"/>
      <c r="V68" s="30"/>
    </row>
    <row r="69" spans="2:22" s="59" customFormat="1" ht="12.75" customHeight="1" x14ac:dyDescent="0.4">
      <c r="C69" s="246"/>
      <c r="D69" s="247"/>
      <c r="E69" s="247"/>
      <c r="F69" s="119">
        <f>F70-0.005</f>
        <v>4.5000000000000005E-2</v>
      </c>
      <c r="G69" s="34"/>
      <c r="H69" s="117">
        <f t="shared" ref="H69:H72" si="22">$M$30/F69</f>
        <v>5444444.444444444</v>
      </c>
      <c r="I69" s="138"/>
      <c r="J69" s="138"/>
      <c r="K69" s="154">
        <f>K70</f>
        <v>-2900000</v>
      </c>
      <c r="L69" s="30">
        <f t="shared" si="20"/>
        <v>2544444.444444444</v>
      </c>
      <c r="M69" s="157">
        <f t="shared" si="21"/>
        <v>0.87739463601532552</v>
      </c>
      <c r="N69" s="30"/>
      <c r="O69" s="30"/>
      <c r="P69" s="30"/>
      <c r="Q69" s="30"/>
      <c r="R69" s="30"/>
      <c r="S69" s="30"/>
      <c r="T69" s="30"/>
      <c r="U69" s="30"/>
      <c r="V69" s="30"/>
    </row>
    <row r="70" spans="2:22" s="59" customFormat="1" ht="12.75" customHeight="1" x14ac:dyDescent="0.4">
      <c r="C70" s="247"/>
      <c r="D70" s="247"/>
      <c r="E70" s="247"/>
      <c r="F70" s="48">
        <v>0.05</v>
      </c>
      <c r="G70" s="167"/>
      <c r="H70" s="168">
        <f t="shared" si="22"/>
        <v>4900000</v>
      </c>
      <c r="I70" s="138"/>
      <c r="J70" s="138"/>
      <c r="K70" s="154">
        <f>'Project Costs &amp; Capital (UL)'!N30</f>
        <v>-2900000</v>
      </c>
      <c r="L70" s="30">
        <f>H70+K70</f>
        <v>2000000</v>
      </c>
      <c r="M70" s="157">
        <f>L70/-K70</f>
        <v>0.68965517241379315</v>
      </c>
      <c r="N70" s="30"/>
      <c r="O70" s="30"/>
      <c r="P70" s="30"/>
      <c r="R70" s="30"/>
      <c r="S70" s="30"/>
      <c r="T70" s="30"/>
      <c r="U70" s="30"/>
      <c r="V70" s="30"/>
    </row>
    <row r="71" spans="2:22" s="59" customFormat="1" ht="12.75" customHeight="1" x14ac:dyDescent="0.4">
      <c r="C71" s="247"/>
      <c r="D71" s="247"/>
      <c r="E71" s="247"/>
      <c r="F71" s="119">
        <f>F70+0.005</f>
        <v>5.5E-2</v>
      </c>
      <c r="G71" s="34"/>
      <c r="H71" s="117">
        <f t="shared" si="22"/>
        <v>4454545.4545454541</v>
      </c>
      <c r="I71" s="138"/>
      <c r="J71" s="138"/>
      <c r="K71" s="154">
        <f>K70</f>
        <v>-2900000</v>
      </c>
      <c r="L71" s="30">
        <f t="shared" ref="L71:L72" si="23">H71+K71</f>
        <v>1554545.4545454541</v>
      </c>
      <c r="M71" s="157">
        <f t="shared" ref="M71:M72" si="24">L71/-K71</f>
        <v>0.53605015673981171</v>
      </c>
      <c r="N71" s="30"/>
      <c r="O71" s="30"/>
      <c r="P71" s="30"/>
      <c r="Q71" s="30"/>
      <c r="R71" s="30"/>
      <c r="S71" s="30"/>
      <c r="T71" s="30"/>
      <c r="U71" s="30"/>
      <c r="V71" s="30"/>
    </row>
    <row r="72" spans="2:22" s="59" customFormat="1" ht="12.75" customHeight="1" x14ac:dyDescent="0.4">
      <c r="C72" s="247"/>
      <c r="D72" s="247"/>
      <c r="E72" s="247"/>
      <c r="F72" s="119">
        <f>F71+0.005</f>
        <v>0.06</v>
      </c>
      <c r="G72" s="34"/>
      <c r="H72" s="117">
        <f t="shared" si="22"/>
        <v>4083333.3333333335</v>
      </c>
      <c r="I72" s="138"/>
      <c r="J72" s="138"/>
      <c r="K72" s="154">
        <f>K71</f>
        <v>-2900000</v>
      </c>
      <c r="L72" s="30">
        <f t="shared" si="23"/>
        <v>1183333.3333333335</v>
      </c>
      <c r="M72" s="157">
        <f t="shared" si="24"/>
        <v>0.40804597701149431</v>
      </c>
      <c r="N72" s="30"/>
      <c r="O72" s="30"/>
      <c r="P72" s="30"/>
      <c r="Q72" s="30"/>
      <c r="R72" s="30"/>
      <c r="S72" s="30"/>
      <c r="T72" s="30"/>
      <c r="U72" s="30"/>
      <c r="V72" s="30"/>
    </row>
    <row r="73" spans="2:22" s="59" customFormat="1" ht="12.75" customHeight="1" x14ac:dyDescent="0.4">
      <c r="C73" s="133"/>
      <c r="D73" s="133"/>
      <c r="E73" s="134"/>
      <c r="F73" s="134"/>
      <c r="G73" s="134"/>
      <c r="H73" s="135"/>
      <c r="I73" s="134"/>
      <c r="J73" s="134"/>
      <c r="K73" s="136"/>
      <c r="L73" s="158"/>
      <c r="M73" s="159"/>
      <c r="N73" s="30"/>
      <c r="O73" s="30"/>
      <c r="P73" s="30"/>
      <c r="Q73" s="30"/>
      <c r="R73" s="30"/>
      <c r="S73" s="30"/>
      <c r="T73" s="30"/>
      <c r="U73" s="30"/>
      <c r="V73" s="30"/>
    </row>
    <row r="74" spans="2:22" s="59" customFormat="1" ht="12.75" customHeight="1" x14ac:dyDescent="0.4">
      <c r="C74" s="19"/>
      <c r="D74" s="19"/>
      <c r="E74" s="34"/>
      <c r="F74" s="34"/>
      <c r="G74" s="34"/>
      <c r="H74" s="64"/>
      <c r="I74" s="34"/>
      <c r="J74" s="34"/>
      <c r="K74" s="24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</row>
    <row r="75" spans="2:22" s="59" customFormat="1" ht="12.75" customHeight="1" x14ac:dyDescent="0.4">
      <c r="C75" s="19"/>
      <c r="D75" s="19"/>
      <c r="E75" s="34"/>
      <c r="F75" s="242" t="s">
        <v>99</v>
      </c>
      <c r="G75" s="242"/>
      <c r="H75" s="242"/>
      <c r="I75" s="34"/>
      <c r="J75" s="34"/>
      <c r="K75" s="24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</row>
    <row r="76" spans="2:22" s="59" customFormat="1" ht="12.75" customHeight="1" x14ac:dyDescent="0.4">
      <c r="C76" s="19"/>
      <c r="D76" s="19"/>
      <c r="E76" s="34"/>
      <c r="F76" s="244" t="s">
        <v>100</v>
      </c>
      <c r="G76" s="244"/>
      <c r="H76" s="244"/>
      <c r="I76" s="34"/>
      <c r="J76" s="34"/>
      <c r="K76" s="24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</row>
    <row r="77" spans="2:22" s="59" customFormat="1" ht="12.75" customHeight="1" x14ac:dyDescent="0.4">
      <c r="C77" s="19"/>
      <c r="D77" s="19"/>
      <c r="E77" s="34"/>
      <c r="F77" s="34"/>
      <c r="G77" s="34"/>
      <c r="H77" s="64"/>
      <c r="I77" s="34"/>
      <c r="J77" s="34"/>
      <c r="K77" s="24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</row>
    <row r="78" spans="2:22" s="59" customFormat="1" ht="12.75" customHeight="1" x14ac:dyDescent="0.4">
      <c r="C78" s="19" t="s">
        <v>15</v>
      </c>
      <c r="D78" s="19"/>
      <c r="E78" s="34"/>
      <c r="F78" s="119">
        <f>F79-0.005</f>
        <v>6.9999999999999993E-2</v>
      </c>
      <c r="G78" s="34"/>
      <c r="H78" s="64">
        <f t="shared" ref="H78:H80" si="25">NPV(F78,$K$62:$V$62)</f>
        <v>1597974.3050003627</v>
      </c>
      <c r="I78" s="139"/>
      <c r="J78" s="139"/>
      <c r="K78" s="14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</row>
    <row r="79" spans="2:22" s="59" customFormat="1" ht="12.75" customHeight="1" x14ac:dyDescent="0.4">
      <c r="C79" s="246"/>
      <c r="D79" s="246"/>
      <c r="E79" s="246"/>
      <c r="F79" s="119">
        <f>F80-0.005</f>
        <v>7.4999999999999997E-2</v>
      </c>
      <c r="G79" s="34"/>
      <c r="H79" s="64">
        <f t="shared" si="25"/>
        <v>1527405.1911907974</v>
      </c>
      <c r="I79" s="139"/>
      <c r="J79" s="139"/>
      <c r="K79" s="14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</row>
    <row r="80" spans="2:22" s="59" customFormat="1" ht="12.75" customHeight="1" x14ac:dyDescent="0.4">
      <c r="C80" s="246"/>
      <c r="D80" s="246"/>
      <c r="E80" s="246"/>
      <c r="F80" s="119">
        <f>F81-0.005</f>
        <v>0.08</v>
      </c>
      <c r="G80" s="34"/>
      <c r="H80" s="64">
        <f t="shared" si="25"/>
        <v>1460007.3738044449</v>
      </c>
      <c r="I80" s="139"/>
      <c r="J80" s="139"/>
      <c r="K80" s="14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</row>
    <row r="81" spans="2:22" s="59" customFormat="1" ht="12.75" customHeight="1" x14ac:dyDescent="0.4">
      <c r="C81" s="246"/>
      <c r="D81" s="246"/>
      <c r="E81" s="246"/>
      <c r="F81" s="48">
        <v>8.5000000000000006E-2</v>
      </c>
      <c r="G81" s="34"/>
      <c r="H81" s="64">
        <f>NPV(F81,$K$62:$V$62)</f>
        <v>1395612.8875315175</v>
      </c>
      <c r="I81" s="139"/>
      <c r="J81" s="139"/>
      <c r="K81" s="14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</row>
    <row r="82" spans="2:22" s="59" customFormat="1" ht="12.75" customHeight="1" x14ac:dyDescent="0.4">
      <c r="C82" s="246"/>
      <c r="D82" s="246"/>
      <c r="E82" s="246"/>
      <c r="F82" s="119">
        <f>F81+0.005</f>
        <v>9.0000000000000011E-2</v>
      </c>
      <c r="G82" s="34"/>
      <c r="H82" s="64">
        <f t="shared" ref="H82:H84" si="26">NPV(F82,$K$62:$V$62)</f>
        <v>1334063.7878070043</v>
      </c>
      <c r="I82" s="139"/>
      <c r="J82" s="139"/>
      <c r="K82" s="14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</row>
    <row r="83" spans="2:22" s="59" customFormat="1" ht="12.75" customHeight="1" x14ac:dyDescent="0.4">
      <c r="C83" s="246"/>
      <c r="D83" s="246"/>
      <c r="E83" s="246"/>
      <c r="F83" s="119">
        <f t="shared" ref="F83:F84" si="27">F82+0.005</f>
        <v>9.5000000000000015E-2</v>
      </c>
      <c r="G83" s="34"/>
      <c r="H83" s="64">
        <f t="shared" si="26"/>
        <v>1275211.4976553333</v>
      </c>
      <c r="I83" s="139"/>
      <c r="J83" s="139"/>
      <c r="K83" s="14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</row>
    <row r="84" spans="2:22" s="59" customFormat="1" ht="12.75" customHeight="1" x14ac:dyDescent="0.4">
      <c r="C84" s="246"/>
      <c r="D84" s="246"/>
      <c r="E84" s="246"/>
      <c r="F84" s="119">
        <f t="shared" si="27"/>
        <v>0.10000000000000002</v>
      </c>
      <c r="G84" s="34"/>
      <c r="H84" s="64">
        <f t="shared" si="26"/>
        <v>1218916.2002780342</v>
      </c>
      <c r="I84" s="141"/>
      <c r="J84" s="141"/>
      <c r="K84" s="142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</row>
    <row r="85" spans="2:22" s="59" customFormat="1" ht="12.75" customHeight="1" x14ac:dyDescent="0.4">
      <c r="C85" s="19"/>
      <c r="D85" s="19"/>
      <c r="E85" s="34"/>
      <c r="F85" s="48"/>
      <c r="G85" s="34"/>
      <c r="H85" s="64"/>
      <c r="I85" s="34"/>
      <c r="J85" s="34"/>
      <c r="K85" s="24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</row>
    <row r="86" spans="2:22" s="59" customFormat="1" ht="12.75" customHeight="1" x14ac:dyDescent="0.4">
      <c r="C86" s="19" t="s">
        <v>16</v>
      </c>
      <c r="D86" s="19"/>
      <c r="E86" s="34"/>
      <c r="F86" s="34"/>
      <c r="G86" s="34"/>
      <c r="H86" s="169">
        <f>IRR(K62:V62)</f>
        <v>0.35951226512504153</v>
      </c>
      <c r="I86" s="34"/>
      <c r="J86" s="34"/>
      <c r="K86" s="24"/>
      <c r="L86" s="30"/>
      <c r="M86" s="30"/>
      <c r="N86" s="181"/>
      <c r="O86" s="30"/>
      <c r="P86" s="30"/>
      <c r="Q86" s="30"/>
      <c r="R86" s="30"/>
      <c r="S86" s="30"/>
      <c r="T86" s="30"/>
      <c r="U86" s="30"/>
      <c r="V86" s="30"/>
    </row>
    <row r="87" spans="2:22" s="59" customFormat="1" ht="12.75" customHeight="1" x14ac:dyDescent="0.4">
      <c r="C87" s="19" t="s">
        <v>90</v>
      </c>
      <c r="D87" s="19"/>
      <c r="E87" s="34"/>
      <c r="F87" s="34"/>
      <c r="G87" s="34"/>
      <c r="H87" s="170">
        <f>SUM(K62:V62)</f>
        <v>3044008.1200367524</v>
      </c>
      <c r="I87" s="34"/>
      <c r="J87" s="34"/>
      <c r="K87" s="24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</row>
    <row r="88" spans="2:22" s="59" customFormat="1" ht="12.75" customHeight="1" x14ac:dyDescent="0.4">
      <c r="C88" s="19"/>
      <c r="D88" s="34"/>
      <c r="E88" s="34"/>
      <c r="F88" s="34"/>
      <c r="G88" s="34"/>
      <c r="H88" s="34"/>
      <c r="I88" s="34"/>
      <c r="J88" s="34"/>
      <c r="K88" s="24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</row>
    <row r="89" spans="2:22" s="59" customFormat="1" ht="12.75" customHeight="1" x14ac:dyDescent="0.4">
      <c r="C89" s="216" t="s">
        <v>68</v>
      </c>
      <c r="D89" s="217"/>
      <c r="E89" s="217"/>
      <c r="F89" s="217"/>
      <c r="G89" s="217"/>
      <c r="H89" s="218"/>
      <c r="I89" s="217"/>
      <c r="J89" s="217"/>
      <c r="K89" s="219" t="str">
        <f>IF(AND(K52&gt;0,K6&lt;=$H$40),(K52/($L$17+$K$17)),"")</f>
        <v/>
      </c>
      <c r="L89" s="220" t="str">
        <f>IF(AND(L52&gt;0,L6&lt;=$H$40),(L52/($L$17+$K$17)),"")</f>
        <v/>
      </c>
      <c r="M89" s="220">
        <f>IF(AND(M52&gt;0,M6&lt;=$I$56),(M52/($L$17+$K$17)),"")</f>
        <v>0.15738255033557044</v>
      </c>
      <c r="N89" s="220">
        <f t="shared" ref="N89:V89" si="28">IF(AND(N52&gt;0,N6&lt;=$I$56),(N52/($L$17+$K$17)),"")</f>
        <v>0.15721476510067109</v>
      </c>
      <c r="O89" s="220">
        <f t="shared" si="28"/>
        <v>9.0627584897761838E-3</v>
      </c>
      <c r="P89" s="220">
        <f t="shared" si="28"/>
        <v>8.8847551340714755E-3</v>
      </c>
      <c r="Q89" s="220">
        <f t="shared" si="28"/>
        <v>8.7014116776956505E-3</v>
      </c>
      <c r="R89" s="220">
        <f t="shared" si="28"/>
        <v>3.6476773734183364E-2</v>
      </c>
      <c r="S89" s="220">
        <f t="shared" si="28"/>
        <v>3.6282264661314206E-2</v>
      </c>
      <c r="T89" s="220">
        <f t="shared" si="28"/>
        <v>3.6081920316259036E-2</v>
      </c>
      <c r="U89" s="220">
        <f t="shared" si="28"/>
        <v>3.5875565640852175E-2</v>
      </c>
      <c r="V89" s="220" t="str">
        <f t="shared" si="28"/>
        <v/>
      </c>
    </row>
    <row r="90" spans="2:22" s="59" customFormat="1" ht="12.75" customHeight="1" x14ac:dyDescent="0.4">
      <c r="C90" s="19"/>
      <c r="D90" s="167" t="s">
        <v>119</v>
      </c>
      <c r="E90" s="34"/>
      <c r="F90" s="34"/>
      <c r="G90" s="34"/>
      <c r="H90" s="174">
        <f>AVERAGE(M89:V89)</f>
        <v>5.3995862787821508E-2</v>
      </c>
      <c r="I90" s="34"/>
      <c r="J90" s="34"/>
      <c r="K90" s="118"/>
      <c r="L90" s="108"/>
      <c r="M90" s="108"/>
      <c r="N90" s="108"/>
      <c r="O90" s="108"/>
      <c r="P90" s="108"/>
      <c r="Q90" s="108"/>
      <c r="R90" s="108"/>
      <c r="S90" s="108"/>
      <c r="T90" s="108"/>
      <c r="U90" s="108"/>
      <c r="V90" s="108"/>
    </row>
    <row r="91" spans="2:22" ht="8.1999999999999993" customHeight="1" thickBot="1" x14ac:dyDescent="0.45">
      <c r="B91" s="25"/>
      <c r="C91" s="25"/>
      <c r="D91" s="25"/>
      <c r="E91" s="25"/>
      <c r="F91" s="25"/>
      <c r="G91" s="25"/>
      <c r="H91" s="25"/>
      <c r="I91" s="25"/>
      <c r="J91" s="25"/>
      <c r="K91" s="36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</row>
    <row r="93" spans="2:22" ht="12.75" customHeight="1" x14ac:dyDescent="0.4">
      <c r="C93" s="19" t="s">
        <v>67</v>
      </c>
      <c r="F93" s="129" t="s">
        <v>81</v>
      </c>
      <c r="H93" s="34" t="s">
        <v>77</v>
      </c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</row>
    <row r="94" spans="2:22" ht="12.75" customHeight="1" x14ac:dyDescent="0.4">
      <c r="C94" s="19" t="s">
        <v>15</v>
      </c>
      <c r="F94" s="129" t="s">
        <v>81</v>
      </c>
      <c r="H94" s="34" t="s">
        <v>78</v>
      </c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</row>
    <row r="95" spans="2:22" ht="12.75" customHeight="1" x14ac:dyDescent="0.4">
      <c r="C95" s="19" t="s">
        <v>16</v>
      </c>
      <c r="F95" s="129" t="s">
        <v>81</v>
      </c>
      <c r="H95" s="34" t="s">
        <v>79</v>
      </c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</row>
  </sheetData>
  <mergeCells count="8">
    <mergeCell ref="F76:H76"/>
    <mergeCell ref="C79:E84"/>
    <mergeCell ref="K5:V5"/>
    <mergeCell ref="K10:L10"/>
    <mergeCell ref="P65:R65"/>
    <mergeCell ref="F66:H66"/>
    <mergeCell ref="C69:E72"/>
    <mergeCell ref="F75:H75"/>
  </mergeCells>
  <printOptions horizontalCentered="1"/>
  <pageMargins left="0.5" right="0.5" top="0.75" bottom="0.75" header="0.5" footer="0.5"/>
  <pageSetup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Project Costs &amp; Capital (UL)</vt:lpstr>
      <vt:lpstr>Rent Roll &amp; Leasing Assumptions</vt:lpstr>
      <vt:lpstr>Operating Expenses</vt:lpstr>
      <vt:lpstr>Net Operating Income</vt:lpstr>
      <vt:lpstr>Unleveraged Cash Flow</vt:lpstr>
      <vt:lpstr>Leveraged Analyses --&gt;</vt:lpstr>
      <vt:lpstr>Project Costs &amp; Capital (L)</vt:lpstr>
      <vt:lpstr>Leveraged Cash Flow (S-T)</vt:lpstr>
      <vt:lpstr>Leveraged Cash Flow (L-T)</vt:lpstr>
      <vt:lpstr>'Leveraged Cash Flow (L-T)'!Print_Area</vt:lpstr>
      <vt:lpstr>'Leveraged Cash Flow (S-T)'!Print_Area</vt:lpstr>
      <vt:lpstr>'Net Operating Income'!Print_Area</vt:lpstr>
      <vt:lpstr>'Operating Expenses'!Print_Area</vt:lpstr>
      <vt:lpstr>'Project Costs &amp; Capital (L)'!Print_Area</vt:lpstr>
      <vt:lpstr>'Project Costs &amp; Capital (UL)'!Print_Area</vt:lpstr>
      <vt:lpstr>'Rent Roll &amp; Leasing Assumptions'!Print_Area</vt:lpstr>
      <vt:lpstr>'Unleveraged Cash Flow'!Print_Area</vt:lpstr>
    </vt:vector>
  </TitlesOfParts>
  <Company>Bank of America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Manley</dc:creator>
  <cp:lastModifiedBy>Chris A</cp:lastModifiedBy>
  <cp:lastPrinted>2015-10-22T21:13:32Z</cp:lastPrinted>
  <dcterms:created xsi:type="dcterms:W3CDTF">2000-03-23T17:11:48Z</dcterms:created>
  <dcterms:modified xsi:type="dcterms:W3CDTF">2024-01-20T03:35:25Z</dcterms:modified>
</cp:coreProperties>
</file>